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460" windowWidth="26300" windowHeight="17740" tabRatio="732" firstSheet="4" activeTab="11"/>
  </bookViews>
  <sheets>
    <sheet name="Comparison" sheetId="1" r:id="rId1"/>
    <sheet name="EP-15_opercosts" sheetId="2" r:id="rId2"/>
    <sheet name="EP-15_payback&amp;ROI" sheetId="3" r:id="rId3"/>
    <sheet name="Ferry" sheetId="4" r:id="rId4"/>
    <sheet name="Ferry_opercosts" sheetId="5" r:id="rId5"/>
    <sheet name="Ferry_payback&amp;ROI" sheetId="6" r:id="rId6"/>
    <sheet name="Airplane" sheetId="7" r:id="rId7"/>
    <sheet name="Airplane_opercosts" sheetId="8" r:id="rId8"/>
    <sheet name="Airplane_payback&amp;ROI" sheetId="9" r:id="rId9"/>
    <sheet name="Helicopter" sheetId="10" r:id="rId10"/>
    <sheet name="Helicopter_opercosts" sheetId="11" r:id="rId11"/>
    <sheet name="Helicopter_payback&amp;ROI" sheetId="12" r:id="rId12"/>
  </sheets>
  <externalReferences>
    <externalReference r:id="rId15"/>
  </externalReferences>
  <definedNames/>
  <calcPr fullCalcOnLoad="1"/>
</workbook>
</file>

<file path=xl/comments11.xml><?xml version="1.0" encoding="utf-8"?>
<comments xmlns="http://schemas.openxmlformats.org/spreadsheetml/2006/main">
  <authors>
    <author>Andr</author>
  </authors>
  <commentList>
    <comment ref="C5" authorId="0">
      <text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Andr</author>
  </authors>
  <commentList>
    <comment ref="C5" authorId="0">
      <text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Andr</author>
  </authors>
  <commentList>
    <comment ref="C5" authorId="0">
      <text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Andr</author>
  </authors>
  <commentList>
    <comment ref="C5" authorId="0">
      <text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<sst xmlns="http://schemas.openxmlformats.org/spreadsheetml/2006/main" count="625" uniqueCount="208">
  <si>
    <t>№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</si>
  <si>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</si>
  <si>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</si>
  <si>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</si>
  <si>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</si>
  <si>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</si>
  <si>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</si>
  <si>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</si>
  <si>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</si>
  <si>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</si>
  <si>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</si>
  <si>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</si>
  <si>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</si>
  <si>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</si>
  <si>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</si>
  <si>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</si>
  <si>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1.10</t>
  </si>
  <si>
    <t>1.11</t>
  </si>
  <si>
    <t>2.7</t>
  </si>
  <si>
    <t>2.8</t>
  </si>
  <si>
    <t>2.9</t>
  </si>
  <si>
    <t>2.10</t>
  </si>
  <si>
    <t>2.11</t>
  </si>
  <si>
    <t>1.12</t>
  </si>
  <si>
    <t>3.1</t>
  </si>
  <si>
    <t>3.2</t>
  </si>
  <si>
    <t>3.3</t>
  </si>
  <si>
    <t>3.4</t>
  </si>
  <si>
    <t>3.5</t>
  </si>
  <si>
    <t>2.12</t>
  </si>
  <si>
    <t>1.13</t>
  </si>
  <si>
    <t>1.14</t>
  </si>
  <si>
    <t>1.15</t>
  </si>
  <si>
    <t>IRR</t>
  </si>
  <si>
    <t xml:space="preserve"> в $</t>
  </si>
  <si>
    <t>$</t>
  </si>
  <si>
    <t xml:space="preserve"> $</t>
  </si>
  <si>
    <t>1.16</t>
  </si>
  <si>
    <t>1.17</t>
  </si>
  <si>
    <t>1.18</t>
  </si>
  <si>
    <t xml:space="preserve">Calculation </t>
  </si>
  <si>
    <t>of the forecasted cashflow for operation of Tallink Star Ferry</t>
  </si>
  <si>
    <t>(route: Port of Tallinn - Port of Helsinki)</t>
  </si>
  <si>
    <r>
      <t xml:space="preserve">I. </t>
    </r>
    <r>
      <rPr>
        <b/>
        <sz val="9"/>
        <rFont val="Times New Roman Cyr"/>
        <family val="1"/>
      </rPr>
      <t xml:space="preserve"> OPERATIONAL AND FINANCIAL CHARACTERISTICS </t>
    </r>
  </si>
  <si>
    <t>INDEXES</t>
  </si>
  <si>
    <t>Route distance, km</t>
  </si>
  <si>
    <t>Revenue from shops and restaurants $  per month</t>
  </si>
  <si>
    <t>Fuel consumption, $ per day</t>
  </si>
  <si>
    <t>Number of cabins</t>
  </si>
  <si>
    <t>Number of car slots</t>
  </si>
  <si>
    <t>Cabin fee $ per person</t>
  </si>
  <si>
    <t>Car fee $ per car</t>
  </si>
  <si>
    <t>Trip duration, hours</t>
  </si>
  <si>
    <t>Number of trips per day</t>
  </si>
  <si>
    <t>Crew, persons</t>
  </si>
  <si>
    <t>Appendix 1</t>
  </si>
  <si>
    <t>Ticket price, $ for 1 ticket</t>
  </si>
  <si>
    <t>Number of navigational days per month</t>
  </si>
  <si>
    <t>Number of working days per month</t>
  </si>
  <si>
    <t>Number of trips per month</t>
  </si>
  <si>
    <t>Number of ferries on the route, units</t>
  </si>
  <si>
    <t>Vessel value, thousand USD</t>
  </si>
  <si>
    <t>Maximum number of passengers :  per day, persons</t>
  </si>
  <si>
    <t xml:space="preserve">                                                            per year, persons</t>
  </si>
  <si>
    <t xml:space="preserve">                                                            per month, persons</t>
  </si>
  <si>
    <t>Number of passengers, persons</t>
  </si>
  <si>
    <t>II. OPERATIONAL EXPENSES PER TRIP FOR ONE UNIT</t>
  </si>
  <si>
    <t>$  per trip</t>
  </si>
  <si>
    <t>$ per year</t>
  </si>
  <si>
    <t>Cost of fuel</t>
  </si>
  <si>
    <t>Technical maintenance</t>
  </si>
  <si>
    <t>Port services</t>
  </si>
  <si>
    <t>Crew general expenses</t>
  </si>
  <si>
    <t>Expenses for crew operations</t>
  </si>
  <si>
    <t>Depreciation</t>
  </si>
  <si>
    <t>Insuranse</t>
  </si>
  <si>
    <t>Repair</t>
  </si>
  <si>
    <t>Other expenses of the vessel</t>
  </si>
  <si>
    <t>Total direct costs</t>
  </si>
  <si>
    <t>Overhead expenses ( not more than 20%)</t>
  </si>
  <si>
    <t>Total operational costs</t>
  </si>
  <si>
    <t>III. ECONOMICAL PERFORMANCE OF THE UNIT</t>
  </si>
  <si>
    <t>Income before taxation, $.</t>
  </si>
  <si>
    <t>USD per trip</t>
  </si>
  <si>
    <t>USD per year</t>
  </si>
  <si>
    <t>Income before taxationя, in %</t>
  </si>
  <si>
    <t>Income tax, 15%</t>
  </si>
  <si>
    <t>Property tax $.</t>
  </si>
  <si>
    <t>Sales of tickets per trip, $</t>
  </si>
  <si>
    <t>Net profit per trip</t>
  </si>
  <si>
    <t>Net profit index, %</t>
  </si>
  <si>
    <t>IV.  ECONOMICAL PERFORMANCE FORECAST</t>
  </si>
  <si>
    <t>Income before taxation per month for one unit</t>
  </si>
  <si>
    <t>Net profit per month for one unit</t>
  </si>
  <si>
    <t>Income before taxation per year for one unit</t>
  </si>
  <si>
    <t>Net profit per year for one unit</t>
  </si>
  <si>
    <r>
      <t xml:space="preserve">I. </t>
    </r>
    <r>
      <rPr>
        <b/>
        <sz val="9"/>
        <rFont val="Times New Roman Cyr"/>
        <family val="1"/>
      </rPr>
      <t xml:space="preserve">   OPERATIONAL AND FINANCIAL CHARACTERISTICS </t>
    </r>
  </si>
  <si>
    <t>of the forecasted cashflow for operation of  ATR-42 airplane</t>
  </si>
  <si>
    <t>(route: Tallinn - Helsinki)</t>
  </si>
  <si>
    <t>Indexes</t>
  </si>
  <si>
    <t>Speed , kmh</t>
  </si>
  <si>
    <t>Fuel consumption, $ per hour</t>
  </si>
  <si>
    <t>Number of airplanes on the route, units</t>
  </si>
  <si>
    <t>Airplane value, thousand USD</t>
  </si>
  <si>
    <t>Airport services</t>
  </si>
  <si>
    <t>Crew training</t>
  </si>
  <si>
    <t>Hangar and insurance</t>
  </si>
  <si>
    <t>Various expenses for the aircraft</t>
  </si>
  <si>
    <t>Price of fuel (gallon), $</t>
  </si>
  <si>
    <t>1.8.   Number of passengers, persons</t>
  </si>
  <si>
    <t>Helicopter value, thousand USD</t>
  </si>
  <si>
    <t>of the forecasted cashflow for operation of Airbus  H155 Helicopter</t>
  </si>
  <si>
    <t>RUB per trip</t>
  </si>
  <si>
    <t>Communication expenses</t>
  </si>
  <si>
    <t>Insurance</t>
  </si>
  <si>
    <t>Administrative expenses</t>
  </si>
  <si>
    <t>RUB</t>
  </si>
  <si>
    <t>Comparison of the investment efficiency of one transport unit on the route Tallinn - Helsinki</t>
  </si>
  <si>
    <t>Project title</t>
  </si>
  <si>
    <t>EP-15 WIG craft</t>
  </si>
  <si>
    <t xml:space="preserve"> Tallink Star Ferry</t>
  </si>
  <si>
    <t xml:space="preserve"> ATR-42 Airplane</t>
  </si>
  <si>
    <t xml:space="preserve"> Airbus Helicopter H155</t>
  </si>
  <si>
    <t xml:space="preserve">                           Overall results of project calcualtion within 5-yeаrs timeframe</t>
  </si>
  <si>
    <t>Index title</t>
  </si>
  <si>
    <t>Ticket price, $</t>
  </si>
  <si>
    <t>Journey fullnes</t>
  </si>
  <si>
    <r>
      <t>Net sales,</t>
    </r>
    <r>
      <rPr>
        <b/>
        <sz val="12"/>
        <rFont val="NTTimes/Cyrillic"/>
        <family val="0"/>
      </rPr>
      <t xml:space="preserve"> k$</t>
    </r>
  </si>
  <si>
    <t>Direct costs</t>
  </si>
  <si>
    <t>VAT 20%</t>
  </si>
  <si>
    <t>Unpredicted expenses</t>
  </si>
  <si>
    <t>Profit after taxes</t>
  </si>
  <si>
    <t>Investments, k$</t>
  </si>
  <si>
    <t>Investments into turnover capital</t>
  </si>
  <si>
    <t>NPV k$</t>
  </si>
  <si>
    <t>Index of NPV, 8%</t>
  </si>
  <si>
    <t>Discont, 8%</t>
  </si>
  <si>
    <t>(NPV - disconted) k$</t>
  </si>
  <si>
    <t>Index of NPV, 12%</t>
  </si>
  <si>
    <t>Discont,</t>
  </si>
  <si>
    <t>Payback period, months</t>
  </si>
  <si>
    <t>Payback period, years</t>
  </si>
  <si>
    <t>1 year</t>
  </si>
  <si>
    <t>2 year</t>
  </si>
  <si>
    <t>3 year</t>
  </si>
  <si>
    <t>4 year</t>
  </si>
  <si>
    <t>5 year</t>
  </si>
  <si>
    <t>Project</t>
  </si>
  <si>
    <t>Total</t>
  </si>
  <si>
    <r>
      <t xml:space="preserve">I. </t>
    </r>
    <r>
      <rPr>
        <b/>
        <sz val="9"/>
        <rFont val="Times New Roman Cyr"/>
        <family val="1"/>
      </rPr>
      <t xml:space="preserve"> OPERATIONAL AND FINANCIAL CHARACTERISTICS</t>
    </r>
  </si>
  <si>
    <t>Ticket price, RUB for 1 ticket</t>
  </si>
  <si>
    <t>Forecast for currency rate of CBR, RUB / USD</t>
  </si>
  <si>
    <t>Number of WIGs on the route, units</t>
  </si>
  <si>
    <t>WIG value, thousand USD</t>
  </si>
  <si>
    <t>Storage and services</t>
  </si>
  <si>
    <t>Salaries including income tax (20% + 1,6%)</t>
  </si>
  <si>
    <t>Taxes from salaries (33,8%)</t>
  </si>
  <si>
    <t>Journey fulness index</t>
  </si>
  <si>
    <r>
      <t>Net sales</t>
    </r>
    <r>
      <rPr>
        <b/>
        <sz val="10"/>
        <rFont val="NTTimes/Cyrillic"/>
        <family val="0"/>
      </rPr>
      <t>, k$</t>
    </r>
  </si>
  <si>
    <t>Index of NPV</t>
  </si>
  <si>
    <t>Disconted</t>
  </si>
  <si>
    <t>Disconted, 8%</t>
  </si>
  <si>
    <t>Transport vehicle</t>
  </si>
  <si>
    <t>Ferry</t>
  </si>
  <si>
    <t>Measurement unit</t>
  </si>
  <si>
    <t>Index</t>
  </si>
  <si>
    <t>Vessel value</t>
  </si>
  <si>
    <t>Passenger capacity</t>
  </si>
  <si>
    <t>Trip duration Tallin - Helsinki</t>
  </si>
  <si>
    <t>Number of daily crew members</t>
  </si>
  <si>
    <t>person</t>
  </si>
  <si>
    <t>hour</t>
  </si>
  <si>
    <t>Type of fuel</t>
  </si>
  <si>
    <t>diesel</t>
  </si>
  <si>
    <t>Daily fuel consumption for 12 hours</t>
  </si>
  <si>
    <t>tonn</t>
  </si>
  <si>
    <t xml:space="preserve">Fuel cost </t>
  </si>
  <si>
    <t>$ per day</t>
  </si>
  <si>
    <t>Port fee (Tallinn and Helsinki)</t>
  </si>
  <si>
    <t>$ per trip</t>
  </si>
  <si>
    <t xml:space="preserve">Technical maintenance </t>
  </si>
  <si>
    <t>Technical maintenance including airconditioning and ventilation</t>
  </si>
  <si>
    <t>Repair expenses</t>
  </si>
  <si>
    <t>$ per 1 trip</t>
  </si>
  <si>
    <t>Salaries of one crew team</t>
  </si>
  <si>
    <t>$ per month</t>
  </si>
  <si>
    <t>Port storage cost (Tallinn)</t>
  </si>
  <si>
    <t>$ per hour</t>
  </si>
  <si>
    <t>Water supply</t>
  </si>
  <si>
    <t xml:space="preserve">Trash disposal in port </t>
  </si>
  <si>
    <t>Fuel fee</t>
  </si>
  <si>
    <t>Other expenses</t>
  </si>
  <si>
    <t>Depreciation 10 years</t>
  </si>
  <si>
    <t>Airplane value</t>
  </si>
  <si>
    <t>Speed</t>
  </si>
  <si>
    <t>kmh</t>
  </si>
  <si>
    <t>Number of crew members per flight</t>
  </si>
  <si>
    <t>Kerosine</t>
  </si>
  <si>
    <t>Fuel consumption per km</t>
  </si>
  <si>
    <t>Fuselage maintenance</t>
  </si>
  <si>
    <t>Engine maintenance</t>
  </si>
  <si>
    <t>General expenses for crew</t>
  </si>
  <si>
    <t>Hangar</t>
  </si>
  <si>
    <t xml:space="preserve">ATR-42 Airplane </t>
  </si>
  <si>
    <t xml:space="preserve">Depreciation 4 years </t>
  </si>
  <si>
    <t>Helicopter value</t>
  </si>
  <si>
    <t>v</t>
  </si>
  <si>
    <t>Helicopter_payback&amp;ROI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</si>
</sst>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m/yyyy"/>
    <numFmt numFmtId="181" formatCode="0.0"/>
    <numFmt numFmtId="182" formatCode="0_)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\ ##0"/>
    <numFmt numFmtId="189" formatCode="#\ ###\ ##0"/>
    <numFmt numFmtId="190" formatCode="_(* #,##0.00_);_(* \(#,##0.00\);_(* &quot;-&quot;??_);_(@_)"/>
    <numFmt numFmtId="191" formatCode="_(* #,##0_);_(* \(#,##0\);_(* &quot;-&quot;??_);_(@_)"/>
    <numFmt numFmtId="192" formatCode="0.0%"/>
    <numFmt numFmtId="193" formatCode="0.0000"/>
    <numFmt numFmtId="194" formatCode="#.0\ ##0"/>
    <numFmt numFmtId="195" formatCode="0.000000"/>
    <numFmt numFmtId="196" formatCode="0.00000"/>
    <numFmt numFmtId="197" formatCode="0.000"/>
    <numFmt numFmtId="198" formatCode="_-* #,##0.0\ _р_._-;\-* #,##0.0\ _р_._-;_-* &quot;-&quot;??\ _р_._-;_-@_-"/>
    <numFmt numFmtId="199" formatCode="_-* #,##0\ _р_._-;\-* #,##0\ _р_._-;_-* &quot;-&quot;??\ _р_._-;_-@_-"/>
    <numFmt numFmtId="200" formatCode="_-* #,##0.0_р_._-;\-* #,##0.0_р_._-;_-* &quot;-&quot;?_р_._-;_-@_-"/>
    <numFmt numFmtId="201" formatCode="[$-FC19]dddd\,\ d\ mmmm\ yyyy\ &quot;г&quot;\.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Tahoma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0"/>
      <name val="NTTimes/Cyrillic"/>
      <family val="0"/>
    </font>
    <font>
      <sz val="9"/>
      <name val="Arial"/>
      <family val="2"/>
    </font>
    <font>
      <i/>
      <sz val="9"/>
      <name val="Arial"/>
      <family val="2"/>
    </font>
    <font>
      <i/>
      <sz val="12"/>
      <color indexed="9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8"/>
      <name val="Arial Cyr"/>
      <family val="0"/>
    </font>
    <font>
      <i/>
      <sz val="12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i/>
      <sz val="12"/>
      <name val="Arial"/>
      <family val="2"/>
    </font>
    <font>
      <b/>
      <sz val="12"/>
      <name val="Arial"/>
      <family val="2"/>
    </font>
    <font>
      <b/>
      <sz val="12"/>
      <name val="NTTimes/Cyrillic"/>
      <family val="0"/>
    </font>
    <font>
      <sz val="10"/>
      <color indexed="8"/>
      <name val="Arial"/>
      <family val="2"/>
    </font>
    <font>
      <sz val="8.45"/>
      <color indexed="8"/>
      <name val="Arial"/>
      <family val="0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10" xfId="0" applyNumberFormat="1" applyFont="1" applyBorder="1" applyAlignment="1">
      <alignment/>
    </xf>
    <xf numFmtId="181" fontId="5" fillId="33" borderId="10" xfId="0" applyNumberFormat="1" applyFont="1" applyFill="1" applyBorder="1" applyAlignment="1" applyProtection="1">
      <alignment horizontal="right"/>
      <protection locked="0"/>
    </xf>
    <xf numFmtId="1" fontId="5" fillId="33" borderId="10" xfId="0" applyNumberFormat="1" applyFont="1" applyFill="1" applyBorder="1" applyAlignment="1" applyProtection="1">
      <alignment horizontal="right"/>
      <protection locked="0"/>
    </xf>
    <xf numFmtId="49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33" borderId="10" xfId="0" applyFont="1" applyFill="1" applyBorder="1" applyAlignment="1" applyProtection="1">
      <alignment horizontal="left"/>
      <protection locked="0"/>
    </xf>
    <xf numFmtId="181" fontId="6" fillId="33" borderId="10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right"/>
    </xf>
    <xf numFmtId="181" fontId="6" fillId="33" borderId="10" xfId="0" applyNumberFormat="1" applyFont="1" applyFill="1" applyBorder="1" applyAlignment="1" applyProtection="1">
      <alignment horizontal="center"/>
      <protection locked="0"/>
    </xf>
    <xf numFmtId="181" fontId="6" fillId="33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1" fontId="6" fillId="33" borderId="1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181" fontId="6" fillId="0" borderId="0" xfId="0" applyNumberFormat="1" applyFont="1" applyAlignment="1">
      <alignment/>
    </xf>
    <xf numFmtId="0" fontId="13" fillId="0" borderId="11" xfId="53" applyFont="1" applyFill="1" applyBorder="1" applyAlignment="1">
      <alignment horizontal="center"/>
      <protection/>
    </xf>
    <xf numFmtId="0" fontId="12" fillId="0" borderId="12" xfId="53" applyBorder="1">
      <alignment/>
      <protection/>
    </xf>
    <xf numFmtId="0" fontId="12" fillId="0" borderId="12" xfId="53" applyBorder="1" applyAlignment="1">
      <alignment horizontal="center"/>
      <protection/>
    </xf>
    <xf numFmtId="0" fontId="12" fillId="0" borderId="0" xfId="53">
      <alignment/>
      <protection/>
    </xf>
    <xf numFmtId="0" fontId="12" fillId="0" borderId="0" xfId="53" applyFill="1" applyBorder="1" applyAlignment="1">
      <alignment vertical="top" wrapText="1"/>
      <protection/>
    </xf>
    <xf numFmtId="188" fontId="12" fillId="0" borderId="0" xfId="53" applyNumberFormat="1" applyFill="1" applyBorder="1" applyAlignment="1">
      <alignment vertical="top" wrapText="1"/>
      <protection/>
    </xf>
    <xf numFmtId="0" fontId="12" fillId="0" borderId="0" xfId="53" applyBorder="1">
      <alignment/>
      <protection/>
    </xf>
    <xf numFmtId="0" fontId="12" fillId="0" borderId="12" xfId="53" applyFill="1" applyBorder="1" applyAlignment="1">
      <alignment vertical="top" wrapText="1"/>
      <protection/>
    </xf>
    <xf numFmtId="188" fontId="12" fillId="0" borderId="12" xfId="53" applyNumberFormat="1" applyFill="1" applyBorder="1" applyAlignment="1">
      <alignment vertical="top" wrapText="1"/>
      <protection/>
    </xf>
    <xf numFmtId="189" fontId="12" fillId="0" borderId="0" xfId="53" applyNumberFormat="1">
      <alignment/>
      <protection/>
    </xf>
    <xf numFmtId="4" fontId="12" fillId="0" borderId="0" xfId="53" applyNumberFormat="1" applyBorder="1">
      <alignment/>
      <protection/>
    </xf>
    <xf numFmtId="14" fontId="12" fillId="0" borderId="0" xfId="53" applyNumberFormat="1" applyBorder="1">
      <alignment/>
      <protection/>
    </xf>
    <xf numFmtId="10" fontId="12" fillId="0" borderId="0" xfId="53" applyNumberFormat="1" applyBorder="1">
      <alignment/>
      <protection/>
    </xf>
    <xf numFmtId="189" fontId="14" fillId="0" borderId="0" xfId="53" applyNumberFormat="1" applyFont="1">
      <alignment/>
      <protection/>
    </xf>
    <xf numFmtId="1" fontId="12" fillId="0" borderId="0" xfId="53" applyNumberFormat="1" applyFill="1" applyBorder="1" applyAlignment="1">
      <alignment vertical="top" wrapText="1"/>
      <protection/>
    </xf>
    <xf numFmtId="9" fontId="12" fillId="0" borderId="0" xfId="53" applyNumberFormat="1">
      <alignment/>
      <protection/>
    </xf>
    <xf numFmtId="189" fontId="14" fillId="0" borderId="12" xfId="53" applyNumberFormat="1" applyFont="1" applyBorder="1">
      <alignment/>
      <protection/>
    </xf>
    <xf numFmtId="3" fontId="14" fillId="0" borderId="0" xfId="53" applyNumberFormat="1" applyFont="1" applyBorder="1">
      <alignment/>
      <protection/>
    </xf>
    <xf numFmtId="191" fontId="14" fillId="0" borderId="0" xfId="64" applyNumberFormat="1" applyFont="1" applyBorder="1" applyAlignment="1">
      <alignment/>
    </xf>
    <xf numFmtId="192" fontId="12" fillId="0" borderId="0" xfId="59" applyNumberFormat="1" applyAlignment="1">
      <alignment/>
    </xf>
    <xf numFmtId="0" fontId="16" fillId="0" borderId="0" xfId="53" applyFont="1" applyFill="1" applyBorder="1" applyAlignment="1">
      <alignment vertical="top" wrapText="1"/>
      <protection/>
    </xf>
    <xf numFmtId="188" fontId="12" fillId="0" borderId="0" xfId="53" applyNumberFormat="1" applyFont="1" applyFill="1" applyBorder="1" applyAlignment="1">
      <alignment vertical="top" wrapText="1"/>
      <protection/>
    </xf>
    <xf numFmtId="0" fontId="17" fillId="0" borderId="0" xfId="53" applyFont="1">
      <alignment/>
      <protection/>
    </xf>
    <xf numFmtId="189" fontId="17" fillId="0" borderId="0" xfId="53" applyNumberFormat="1" applyFont="1">
      <alignment/>
      <protection/>
    </xf>
    <xf numFmtId="0" fontId="17" fillId="0" borderId="0" xfId="53" applyFont="1" applyBorder="1">
      <alignment/>
      <protection/>
    </xf>
    <xf numFmtId="14" fontId="17" fillId="0" borderId="0" xfId="53" applyNumberFormat="1" applyFont="1" applyBorder="1">
      <alignment/>
      <protection/>
    </xf>
    <xf numFmtId="188" fontId="16" fillId="0" borderId="0" xfId="53" applyNumberFormat="1" applyFont="1" applyFill="1" applyBorder="1" applyAlignment="1">
      <alignment vertical="top" wrapText="1"/>
      <protection/>
    </xf>
    <xf numFmtId="191" fontId="0" fillId="0" borderId="0" xfId="64" applyNumberFormat="1" applyFont="1" applyFill="1" applyBorder="1" applyAlignment="1">
      <alignment vertical="top" wrapText="1"/>
    </xf>
    <xf numFmtId="188" fontId="14" fillId="0" borderId="0" xfId="53" applyNumberFormat="1" applyFont="1" applyBorder="1">
      <alignment/>
      <protection/>
    </xf>
    <xf numFmtId="0" fontId="14" fillId="0" borderId="0" xfId="53" applyFont="1" applyBorder="1">
      <alignment/>
      <protection/>
    </xf>
    <xf numFmtId="189" fontId="12" fillId="0" borderId="0" xfId="53" applyNumberFormat="1" applyBorder="1">
      <alignment/>
      <protection/>
    </xf>
    <xf numFmtId="189" fontId="14" fillId="0" borderId="0" xfId="53" applyNumberFormat="1" applyFont="1" applyBorder="1">
      <alignment/>
      <protection/>
    </xf>
    <xf numFmtId="191" fontId="14" fillId="0" borderId="0" xfId="53" applyNumberFormat="1" applyFont="1" applyBorder="1">
      <alignment/>
      <protection/>
    </xf>
    <xf numFmtId="0" fontId="14" fillId="0" borderId="0" xfId="53" applyFont="1" applyFill="1" applyBorder="1" applyAlignment="1">
      <alignment vertical="top" wrapText="1"/>
      <protection/>
    </xf>
    <xf numFmtId="189" fontId="12" fillId="0" borderId="0" xfId="53" applyNumberFormat="1" applyFill="1" applyBorder="1" applyAlignment="1">
      <alignment vertical="top" wrapText="1"/>
      <protection/>
    </xf>
    <xf numFmtId="2" fontId="17" fillId="0" borderId="0" xfId="53" applyNumberFormat="1" applyFont="1" applyFill="1" applyBorder="1" applyAlignment="1">
      <alignment vertical="top" wrapText="1"/>
      <protection/>
    </xf>
    <xf numFmtId="193" fontId="17" fillId="0" borderId="0" xfId="53" applyNumberFormat="1" applyFont="1" applyFill="1" applyBorder="1" applyAlignment="1">
      <alignment vertical="top" wrapText="1"/>
      <protection/>
    </xf>
    <xf numFmtId="10" fontId="12" fillId="0" borderId="0" xfId="53" applyNumberFormat="1">
      <alignment/>
      <protection/>
    </xf>
    <xf numFmtId="189" fontId="12" fillId="0" borderId="12" xfId="53" applyNumberFormat="1" applyFill="1" applyBorder="1" applyAlignment="1">
      <alignment vertical="top" wrapText="1"/>
      <protection/>
    </xf>
    <xf numFmtId="9" fontId="12" fillId="0" borderId="12" xfId="53" applyNumberFormat="1" applyBorder="1">
      <alignment/>
      <protection/>
    </xf>
    <xf numFmtId="193" fontId="18" fillId="0" borderId="0" xfId="53" applyNumberFormat="1" applyFont="1" applyBorder="1" applyProtection="1">
      <alignment/>
      <protection/>
    </xf>
    <xf numFmtId="189" fontId="12" fillId="0" borderId="13" xfId="53" applyNumberFormat="1" applyBorder="1">
      <alignment/>
      <protection/>
    </xf>
    <xf numFmtId="9" fontId="19" fillId="0" borderId="14" xfId="53" applyNumberFormat="1" applyFont="1" applyBorder="1">
      <alignment/>
      <protection/>
    </xf>
    <xf numFmtId="189" fontId="14" fillId="0" borderId="0" xfId="53" applyNumberFormat="1" applyFont="1" applyFill="1" applyBorder="1" applyAlignment="1">
      <alignment vertical="top" wrapText="1"/>
      <protection/>
    </xf>
    <xf numFmtId="188" fontId="12" fillId="0" borderId="0" xfId="53" applyNumberFormat="1">
      <alignment/>
      <protection/>
    </xf>
    <xf numFmtId="189" fontId="14" fillId="0" borderId="15" xfId="53" applyNumberFormat="1" applyFont="1" applyBorder="1">
      <alignment/>
      <protection/>
    </xf>
    <xf numFmtId="189" fontId="14" fillId="0" borderId="16" xfId="53" applyNumberFormat="1" applyFont="1" applyFill="1" applyBorder="1" applyAlignment="1">
      <alignment vertical="center" wrapText="1"/>
      <protection/>
    </xf>
    <xf numFmtId="0" fontId="14" fillId="0" borderId="16" xfId="53" applyFont="1" applyBorder="1" applyAlignment="1">
      <alignment vertical="center"/>
      <protection/>
    </xf>
    <xf numFmtId="189" fontId="14" fillId="0" borderId="16" xfId="53" applyNumberFormat="1" applyFont="1" applyBorder="1" applyAlignment="1">
      <alignment vertical="center"/>
      <protection/>
    </xf>
    <xf numFmtId="2" fontId="5" fillId="0" borderId="10" xfId="0" applyNumberFormat="1" applyFont="1" applyBorder="1" applyAlignment="1">
      <alignment/>
    </xf>
    <xf numFmtId="199" fontId="5" fillId="33" borderId="10" xfId="62" applyNumberFormat="1" applyFont="1" applyFill="1" applyBorder="1" applyAlignment="1" applyProtection="1">
      <alignment horizontal="right"/>
      <protection locked="0"/>
    </xf>
    <xf numFmtId="199" fontId="5" fillId="0" borderId="10" xfId="62" applyNumberFormat="1" applyFont="1" applyFill="1" applyBorder="1" applyAlignment="1">
      <alignment/>
    </xf>
    <xf numFmtId="199" fontId="5" fillId="33" borderId="10" xfId="62" applyNumberFormat="1" applyFont="1" applyFill="1" applyBorder="1" applyAlignment="1">
      <alignment horizontal="right"/>
    </xf>
    <xf numFmtId="199" fontId="6" fillId="33" borderId="10" xfId="62" applyNumberFormat="1" applyFont="1" applyFill="1" applyBorder="1" applyAlignment="1" applyProtection="1">
      <alignment horizontal="right"/>
      <protection locked="0"/>
    </xf>
    <xf numFmtId="199" fontId="6" fillId="33" borderId="10" xfId="62" applyNumberFormat="1" applyFont="1" applyFill="1" applyBorder="1" applyAlignment="1">
      <alignment horizontal="right"/>
    </xf>
    <xf numFmtId="199" fontId="5" fillId="0" borderId="10" xfId="62" applyNumberFormat="1" applyFont="1" applyBorder="1" applyAlignment="1">
      <alignment/>
    </xf>
    <xf numFmtId="199" fontId="6" fillId="33" borderId="10" xfId="62" applyNumberFormat="1" applyFont="1" applyFill="1" applyBorder="1" applyAlignment="1">
      <alignment horizontal="right"/>
    </xf>
    <xf numFmtId="199" fontId="6" fillId="0" borderId="10" xfId="62" applyNumberFormat="1" applyFont="1" applyBorder="1" applyAlignment="1">
      <alignment/>
    </xf>
    <xf numFmtId="199" fontId="6" fillId="33" borderId="10" xfId="62" applyNumberFormat="1" applyFont="1" applyFill="1" applyBorder="1" applyAlignment="1" applyProtection="1">
      <alignment/>
      <protection locked="0"/>
    </xf>
    <xf numFmtId="0" fontId="14" fillId="0" borderId="17" xfId="53" applyFont="1" applyFill="1" applyBorder="1" applyAlignment="1">
      <alignment vertical="top" wrapText="1"/>
      <protection/>
    </xf>
    <xf numFmtId="188" fontId="14" fillId="0" borderId="17" xfId="53" applyNumberFormat="1" applyFont="1" applyFill="1" applyBorder="1" applyAlignment="1">
      <alignment vertical="top" wrapText="1"/>
      <protection/>
    </xf>
    <xf numFmtId="0" fontId="14" fillId="0" borderId="17" xfId="53" applyFont="1" applyBorder="1">
      <alignment/>
      <protection/>
    </xf>
    <xf numFmtId="189" fontId="14" fillId="0" borderId="18" xfId="53" applyNumberFormat="1" applyFont="1" applyBorder="1">
      <alignment/>
      <protection/>
    </xf>
    <xf numFmtId="0" fontId="12" fillId="0" borderId="10" xfId="53" applyFill="1" applyBorder="1" applyAlignment="1">
      <alignment vertical="top" wrapText="1"/>
      <protection/>
    </xf>
    <xf numFmtId="0" fontId="12" fillId="0" borderId="10" xfId="53" applyFill="1" applyBorder="1" applyAlignment="1">
      <alignment horizontal="center" vertical="top" wrapText="1"/>
      <protection/>
    </xf>
    <xf numFmtId="0" fontId="12" fillId="0" borderId="10" xfId="53" applyBorder="1" applyAlignment="1">
      <alignment horizontal="center"/>
      <protection/>
    </xf>
    <xf numFmtId="188" fontId="12" fillId="0" borderId="10" xfId="53" applyNumberFormat="1" applyFill="1" applyBorder="1" applyAlignment="1">
      <alignment vertical="top" wrapText="1"/>
      <protection/>
    </xf>
    <xf numFmtId="0" fontId="12" fillId="0" borderId="10" xfId="53" applyBorder="1">
      <alignment/>
      <protection/>
    </xf>
    <xf numFmtId="189" fontId="12" fillId="0" borderId="10" xfId="53" applyNumberFormat="1" applyBorder="1">
      <alignment/>
      <protection/>
    </xf>
    <xf numFmtId="0" fontId="12" fillId="0" borderId="19" xfId="53" applyFill="1" applyBorder="1" applyAlignment="1">
      <alignment vertical="top" wrapText="1"/>
      <protection/>
    </xf>
    <xf numFmtId="2" fontId="12" fillId="0" borderId="19" xfId="53" applyNumberFormat="1" applyFill="1" applyBorder="1" applyAlignment="1">
      <alignment vertical="top" wrapText="1"/>
      <protection/>
    </xf>
    <xf numFmtId="0" fontId="12" fillId="0" borderId="19" xfId="53" applyBorder="1">
      <alignment/>
      <protection/>
    </xf>
    <xf numFmtId="189" fontId="12" fillId="0" borderId="19" xfId="53" applyNumberFormat="1" applyBorder="1">
      <alignment/>
      <protection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 wrapText="1" shrinkToFit="1"/>
    </xf>
    <xf numFmtId="0" fontId="22" fillId="0" borderId="10" xfId="0" applyFont="1" applyBorder="1" applyAlignment="1">
      <alignment/>
    </xf>
    <xf numFmtId="199" fontId="20" fillId="0" borderId="10" xfId="62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2" fontId="5" fillId="33" borderId="10" xfId="0" applyNumberFormat="1" applyFont="1" applyFill="1" applyBorder="1" applyAlignment="1" applyProtection="1">
      <alignment horizontal="right"/>
      <protection locked="0"/>
    </xf>
    <xf numFmtId="0" fontId="12" fillId="0" borderId="20" xfId="53" applyFill="1" applyBorder="1" applyAlignment="1">
      <alignment vertical="top" wrapText="1"/>
      <protection/>
    </xf>
    <xf numFmtId="193" fontId="18" fillId="0" borderId="10" xfId="53" applyNumberFormat="1" applyFont="1" applyBorder="1" applyProtection="1">
      <alignment/>
      <protection/>
    </xf>
    <xf numFmtId="188" fontId="12" fillId="0" borderId="10" xfId="53" applyNumberFormat="1" applyBorder="1">
      <alignment/>
      <protection/>
    </xf>
    <xf numFmtId="0" fontId="13" fillId="0" borderId="12" xfId="53" applyFont="1" applyFill="1" applyBorder="1" applyAlignment="1">
      <alignment horizontal="center"/>
      <protection/>
    </xf>
    <xf numFmtId="0" fontId="26" fillId="0" borderId="10" xfId="53" applyFont="1" applyFill="1" applyBorder="1" applyAlignment="1">
      <alignment horizontal="center" wrapText="1" shrinkToFit="1"/>
      <protection/>
    </xf>
    <xf numFmtId="0" fontId="19" fillId="0" borderId="20" xfId="53" applyFont="1" applyFill="1" applyBorder="1" applyAlignment="1">
      <alignment vertical="top" wrapText="1"/>
      <protection/>
    </xf>
    <xf numFmtId="0" fontId="19" fillId="0" borderId="10" xfId="53" applyFont="1" applyFill="1" applyBorder="1" applyAlignment="1">
      <alignment vertical="top" wrapText="1"/>
      <protection/>
    </xf>
    <xf numFmtId="188" fontId="19" fillId="0" borderId="10" xfId="53" applyNumberFormat="1" applyFont="1" applyFill="1" applyBorder="1" applyAlignment="1">
      <alignment vertical="top" wrapText="1"/>
      <protection/>
    </xf>
    <xf numFmtId="0" fontId="26" fillId="0" borderId="21" xfId="53" applyFont="1" applyFill="1" applyBorder="1" applyAlignment="1">
      <alignment vertical="top" wrapText="1"/>
      <protection/>
    </xf>
    <xf numFmtId="2" fontId="19" fillId="0" borderId="10" xfId="53" applyNumberFormat="1" applyFont="1" applyFill="1" applyBorder="1" applyAlignment="1">
      <alignment vertical="top" wrapText="1"/>
      <protection/>
    </xf>
    <xf numFmtId="0" fontId="26" fillId="0" borderId="10" xfId="53" applyFont="1" applyFill="1" applyBorder="1" applyAlignment="1">
      <alignment vertical="top" wrapText="1"/>
      <protection/>
    </xf>
    <xf numFmtId="188" fontId="26" fillId="0" borderId="10" xfId="53" applyNumberFormat="1" applyFont="1" applyFill="1" applyBorder="1" applyAlignment="1">
      <alignment vertical="top" wrapText="1"/>
      <protection/>
    </xf>
    <xf numFmtId="0" fontId="19" fillId="0" borderId="0" xfId="53" applyFont="1" applyFill="1" applyBorder="1" applyAlignment="1">
      <alignment vertical="top" wrapText="1"/>
      <protection/>
    </xf>
    <xf numFmtId="1" fontId="19" fillId="0" borderId="10" xfId="53" applyNumberFormat="1" applyFont="1" applyFill="1" applyBorder="1" applyAlignment="1">
      <alignment vertical="top" wrapText="1"/>
      <protection/>
    </xf>
    <xf numFmtId="0" fontId="19" fillId="0" borderId="12" xfId="53" applyFont="1" applyFill="1" applyBorder="1" applyAlignment="1">
      <alignment vertical="top" wrapText="1"/>
      <protection/>
    </xf>
    <xf numFmtId="0" fontId="19" fillId="0" borderId="10" xfId="53" applyFont="1" applyBorder="1">
      <alignment/>
      <protection/>
    </xf>
    <xf numFmtId="0" fontId="26" fillId="0" borderId="16" xfId="53" applyFont="1" applyFill="1" applyBorder="1" applyAlignment="1">
      <alignment vertical="center" wrapText="1"/>
      <protection/>
    </xf>
    <xf numFmtId="189" fontId="26" fillId="0" borderId="10" xfId="53" applyNumberFormat="1" applyFont="1" applyFill="1" applyBorder="1" applyAlignment="1">
      <alignment vertical="center" wrapText="1"/>
      <protection/>
    </xf>
    <xf numFmtId="0" fontId="26" fillId="0" borderId="0" xfId="53" applyFont="1" applyFill="1" applyBorder="1" applyAlignment="1">
      <alignment vertical="top" wrapText="1"/>
      <protection/>
    </xf>
    <xf numFmtId="189" fontId="19" fillId="0" borderId="10" xfId="53" applyNumberFormat="1" applyFont="1" applyFill="1" applyBorder="1" applyAlignment="1">
      <alignment vertical="top" wrapText="1"/>
      <protection/>
    </xf>
    <xf numFmtId="0" fontId="25" fillId="0" borderId="0" xfId="53" applyFont="1" applyFill="1" applyBorder="1" applyAlignment="1">
      <alignment vertical="top" wrapText="1"/>
      <protection/>
    </xf>
    <xf numFmtId="2" fontId="25" fillId="0" borderId="10" xfId="53" applyNumberFormat="1" applyFont="1" applyFill="1" applyBorder="1" applyAlignment="1">
      <alignment vertical="top" wrapText="1"/>
      <protection/>
    </xf>
    <xf numFmtId="193" fontId="25" fillId="0" borderId="10" xfId="53" applyNumberFormat="1" applyFont="1" applyFill="1" applyBorder="1" applyAlignment="1">
      <alignment vertical="top" wrapText="1"/>
      <protection/>
    </xf>
    <xf numFmtId="189" fontId="26" fillId="0" borderId="10" xfId="53" applyNumberFormat="1" applyFont="1" applyFill="1" applyBorder="1" applyAlignment="1">
      <alignment vertical="top" wrapText="1"/>
      <protection/>
    </xf>
    <xf numFmtId="0" fontId="26" fillId="0" borderId="22" xfId="53" applyFont="1" applyFill="1" applyBorder="1" applyAlignment="1">
      <alignment vertical="top" wrapText="1"/>
      <protection/>
    </xf>
    <xf numFmtId="0" fontId="24" fillId="0" borderId="0" xfId="0" applyFont="1" applyAlignment="1">
      <alignment horizontal="center"/>
    </xf>
    <xf numFmtId="0" fontId="13" fillId="0" borderId="0" xfId="53" applyFont="1" applyFill="1" applyBorder="1" applyAlignment="1">
      <alignment horizontal="center"/>
      <protection/>
    </xf>
    <xf numFmtId="0" fontId="12" fillId="0" borderId="0" xfId="53" applyBorder="1" applyAlignment="1">
      <alignment horizontal="center"/>
      <protection/>
    </xf>
    <xf numFmtId="0" fontId="12" fillId="0" borderId="0" xfId="53" applyFill="1" applyBorder="1" applyAlignment="1">
      <alignment horizontal="center" vertical="top" wrapText="1"/>
      <protection/>
    </xf>
    <xf numFmtId="2" fontId="12" fillId="0" borderId="0" xfId="53" applyNumberFormat="1" applyFill="1" applyBorder="1" applyAlignment="1">
      <alignment vertical="top" wrapText="1"/>
      <protection/>
    </xf>
    <xf numFmtId="188" fontId="14" fillId="0" borderId="0" xfId="53" applyNumberFormat="1" applyFont="1" applyFill="1" applyBorder="1" applyAlignment="1">
      <alignment vertical="top" wrapText="1"/>
      <protection/>
    </xf>
    <xf numFmtId="192" fontId="12" fillId="0" borderId="0" xfId="59" applyNumberFormat="1" applyBorder="1" applyAlignment="1">
      <alignment/>
    </xf>
    <xf numFmtId="189" fontId="17" fillId="0" borderId="0" xfId="53" applyNumberFormat="1" applyFont="1" applyBorder="1">
      <alignment/>
      <protection/>
    </xf>
    <xf numFmtId="189" fontId="14" fillId="0" borderId="0" xfId="53" applyNumberFormat="1" applyFont="1" applyFill="1" applyBorder="1" applyAlignment="1">
      <alignment vertical="center" wrapText="1"/>
      <protection/>
    </xf>
    <xf numFmtId="0" fontId="14" fillId="0" borderId="0" xfId="53" applyFont="1" applyBorder="1" applyAlignment="1">
      <alignment vertical="center"/>
      <protection/>
    </xf>
    <xf numFmtId="189" fontId="14" fillId="0" borderId="0" xfId="53" applyNumberFormat="1" applyFont="1" applyBorder="1" applyAlignment="1">
      <alignment vertical="center"/>
      <protection/>
    </xf>
    <xf numFmtId="9" fontId="12" fillId="0" borderId="0" xfId="53" applyNumberFormat="1" applyBorder="1">
      <alignment/>
      <protection/>
    </xf>
    <xf numFmtId="9" fontId="19" fillId="0" borderId="0" xfId="53" applyNumberFormat="1" applyFont="1" applyBorder="1">
      <alignment/>
      <protection/>
    </xf>
    <xf numFmtId="0" fontId="6" fillId="0" borderId="10" xfId="0" applyFont="1" applyFill="1" applyBorder="1" applyAlignment="1">
      <alignment/>
    </xf>
    <xf numFmtId="181" fontId="6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10" xfId="53" applyFont="1" applyFill="1" applyBorder="1" applyAlignment="1">
      <alignment vertical="top" wrapText="1"/>
      <protection/>
    </xf>
    <xf numFmtId="0" fontId="14" fillId="0" borderId="19" xfId="53" applyFont="1" applyFill="1" applyBorder="1" applyAlignment="1">
      <alignment vertical="top" wrapText="1"/>
      <protection/>
    </xf>
    <xf numFmtId="0" fontId="14" fillId="0" borderId="23" xfId="53" applyFont="1" applyFill="1" applyBorder="1" applyAlignment="1">
      <alignment vertical="top" wrapText="1"/>
      <protection/>
    </xf>
    <xf numFmtId="188" fontId="14" fillId="0" borderId="17" xfId="53" applyNumberFormat="1" applyFont="1" applyFill="1" applyBorder="1" applyAlignment="1">
      <alignment vertical="top" wrapText="1"/>
      <protection/>
    </xf>
    <xf numFmtId="0" fontId="14" fillId="0" borderId="17" xfId="53" applyFont="1" applyBorder="1">
      <alignment/>
      <protection/>
    </xf>
    <xf numFmtId="189" fontId="14" fillId="0" borderId="18" xfId="53" applyNumberFormat="1" applyFont="1" applyBorder="1">
      <alignment/>
      <protection/>
    </xf>
    <xf numFmtId="189" fontId="14" fillId="0" borderId="0" xfId="53" applyNumberFormat="1" applyFont="1">
      <alignment/>
      <protection/>
    </xf>
    <xf numFmtId="0" fontId="12" fillId="0" borderId="0" xfId="53" applyFont="1" applyFill="1" applyBorder="1" applyAlignment="1">
      <alignment vertical="top" wrapText="1"/>
      <protection/>
    </xf>
    <xf numFmtId="189" fontId="14" fillId="0" borderId="12" xfId="53" applyNumberFormat="1" applyFont="1" applyBorder="1">
      <alignment/>
      <protection/>
    </xf>
    <xf numFmtId="3" fontId="14" fillId="0" borderId="0" xfId="53" applyNumberFormat="1" applyFont="1" applyBorder="1">
      <alignment/>
      <protection/>
    </xf>
    <xf numFmtId="191" fontId="14" fillId="0" borderId="0" xfId="64" applyNumberFormat="1" applyFont="1" applyBorder="1" applyAlignment="1">
      <alignment/>
    </xf>
    <xf numFmtId="188" fontId="12" fillId="0" borderId="0" xfId="53" applyNumberFormat="1" applyFont="1" applyFill="1" applyBorder="1" applyAlignment="1">
      <alignment vertical="top" wrapText="1"/>
      <protection/>
    </xf>
    <xf numFmtId="188" fontId="14" fillId="0" borderId="0" xfId="53" applyNumberFormat="1" applyFont="1" applyBorder="1">
      <alignment/>
      <protection/>
    </xf>
    <xf numFmtId="0" fontId="14" fillId="0" borderId="0" xfId="53" applyFont="1" applyBorder="1">
      <alignment/>
      <protection/>
    </xf>
    <xf numFmtId="0" fontId="14" fillId="0" borderId="16" xfId="53" applyFont="1" applyFill="1" applyBorder="1" applyAlignment="1">
      <alignment vertical="center" wrapText="1"/>
      <protection/>
    </xf>
    <xf numFmtId="189" fontId="14" fillId="0" borderId="16" xfId="53" applyNumberFormat="1" applyFont="1" applyFill="1" applyBorder="1" applyAlignment="1">
      <alignment vertical="center" wrapText="1"/>
      <protection/>
    </xf>
    <xf numFmtId="0" fontId="14" fillId="0" borderId="16" xfId="53" applyFont="1" applyBorder="1" applyAlignment="1">
      <alignment vertical="center"/>
      <protection/>
    </xf>
    <xf numFmtId="189" fontId="14" fillId="0" borderId="16" xfId="53" applyNumberFormat="1" applyFont="1" applyBorder="1" applyAlignment="1">
      <alignment vertical="center"/>
      <protection/>
    </xf>
    <xf numFmtId="189" fontId="14" fillId="0" borderId="0" xfId="53" applyNumberFormat="1" applyFont="1" applyBorder="1">
      <alignment/>
      <protection/>
    </xf>
    <xf numFmtId="191" fontId="14" fillId="0" borderId="0" xfId="53" applyNumberFormat="1" applyFont="1" applyBorder="1">
      <alignment/>
      <protection/>
    </xf>
    <xf numFmtId="0" fontId="14" fillId="0" borderId="0" xfId="53" applyFont="1" applyFill="1" applyBorder="1" applyAlignment="1">
      <alignment vertical="top" wrapText="1"/>
      <protection/>
    </xf>
    <xf numFmtId="189" fontId="14" fillId="0" borderId="15" xfId="53" applyNumberFormat="1" applyFont="1" applyBorder="1">
      <alignment/>
      <protection/>
    </xf>
    <xf numFmtId="189" fontId="14" fillId="0" borderId="0" xfId="53" applyNumberFormat="1" applyFont="1" applyFill="1" applyBorder="1" applyAlignment="1">
      <alignment vertical="top" wrapText="1"/>
      <protection/>
    </xf>
    <xf numFmtId="49" fontId="6" fillId="0" borderId="0" xfId="0" applyNumberFormat="1" applyFont="1" applyAlignment="1">
      <alignment horizontal="right"/>
    </xf>
    <xf numFmtId="181" fontId="6" fillId="33" borderId="10" xfId="0" applyNumberFormat="1" applyFont="1" applyFill="1" applyBorder="1" applyAlignment="1" applyProtection="1">
      <alignment horizontal="right"/>
      <protection locked="0"/>
    </xf>
    <xf numFmtId="199" fontId="6" fillId="0" borderId="10" xfId="62" applyNumberFormat="1" applyFont="1" applyBorder="1" applyAlignment="1">
      <alignment/>
    </xf>
    <xf numFmtId="181" fontId="6" fillId="0" borderId="0" xfId="0" applyNumberFormat="1" applyFont="1" applyAlignment="1">
      <alignment/>
    </xf>
    <xf numFmtId="0" fontId="30" fillId="33" borderId="10" xfId="0" applyFont="1" applyFill="1" applyBorder="1" applyAlignment="1" applyProtection="1">
      <alignment horizontal="left"/>
      <protection locked="0"/>
    </xf>
    <xf numFmtId="0" fontId="12" fillId="0" borderId="12" xfId="53" applyFont="1" applyFill="1" applyBorder="1" applyAlignment="1">
      <alignment vertical="top" wrapText="1"/>
      <protection/>
    </xf>
    <xf numFmtId="0" fontId="13" fillId="0" borderId="0" xfId="53" applyFont="1" applyFill="1" applyBorder="1" applyAlignment="1">
      <alignment vertical="top" wrapText="1"/>
      <protection/>
    </xf>
    <xf numFmtId="0" fontId="14" fillId="0" borderId="10" xfId="53" applyFont="1" applyFill="1" applyBorder="1" applyAlignment="1">
      <alignment vertical="top" wrapText="1"/>
      <protection/>
    </xf>
    <xf numFmtId="0" fontId="20" fillId="33" borderId="10" xfId="0" applyFont="1" applyFill="1" applyBorder="1" applyAlignment="1" applyProtection="1">
      <alignment horizontal="left"/>
      <protection locked="0"/>
    </xf>
    <xf numFmtId="0" fontId="25" fillId="0" borderId="10" xfId="53" applyFont="1" applyFill="1" applyBorder="1" applyAlignment="1">
      <alignment horizontal="center"/>
      <protection/>
    </xf>
    <xf numFmtId="0" fontId="20" fillId="0" borderId="10" xfId="0" applyFont="1" applyBorder="1" applyAlignment="1">
      <alignment horizontal="center"/>
    </xf>
    <xf numFmtId="0" fontId="23" fillId="0" borderId="0" xfId="53" applyFont="1" applyAlignment="1">
      <alignment horizontal="center"/>
      <protection/>
    </xf>
    <xf numFmtId="0" fontId="0" fillId="0" borderId="0" xfId="0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Project profile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"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Tallinn EP-15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"</a:t>
            </a:r>
          </a:p>
        </c:rich>
      </c:tx>
      <c:layout>
        <c:manualLayout>
          <c:xMode val="factor"/>
          <c:yMode val="factor"/>
          <c:x val="-0.234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425"/>
          <c:w val="0.633"/>
          <c:h val="0.82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'EP-15_payback&amp;ROI'!$B$23:$G$23</c:f>
              <c:numCache/>
            </c:numRef>
          </c:val>
        </c:ser>
        <c:axId val="65013351"/>
        <c:axId val="48249248"/>
      </c:bar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49248"/>
        <c:crosses val="autoZero"/>
        <c:auto val="1"/>
        <c:lblOffset val="100"/>
        <c:tickLblSkip val="1"/>
        <c:noMultiLvlLbl val="0"/>
      </c:catAx>
      <c:valAx>
        <c:axId val="48249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13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5775"/>
          <c:w val="0.194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Project profile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"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Tallinn - Helsinki Ferry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"</a:t>
            </a:r>
          </a:p>
        </c:rich>
      </c:tx>
      <c:layout>
        <c:manualLayout>
          <c:xMode val="factor"/>
          <c:yMode val="factor"/>
          <c:x val="-0.185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4"/>
          <c:w val="0.6525"/>
          <c:h val="0.822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'Ferry_payback&amp;ROI'!$B$23:$G$23</c:f>
              <c:numCache/>
            </c:numRef>
          </c:val>
        </c:ser>
        <c:axId val="31590049"/>
        <c:axId val="15874986"/>
      </c:barChart>
      <c:catAx>
        <c:axId val="315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74986"/>
        <c:crosses val="autoZero"/>
        <c:auto val="1"/>
        <c:lblOffset val="100"/>
        <c:tickLblSkip val="1"/>
        <c:noMultiLvlLbl val="0"/>
      </c:catAx>
      <c:valAx>
        <c:axId val="15874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90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5775"/>
          <c:w val="0.194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Project profile "Tallinn - Helsinki Airplane"</a:t>
            </a:r>
          </a:p>
        </c:rich>
      </c:tx>
      <c:layout>
        <c:manualLayout>
          <c:xMode val="factor"/>
          <c:yMode val="factor"/>
          <c:x val="-0.06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"/>
          <c:w val="0.633"/>
          <c:h val="0.82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'Airplane_payback&amp;ROI'!$B$23:$G$23</c:f>
              <c:numCache/>
            </c:numRef>
          </c:val>
        </c:ser>
        <c:axId val="8657147"/>
        <c:axId val="10805460"/>
      </c:barChart>
      <c:catAx>
        <c:axId val="865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05460"/>
        <c:crosses val="autoZero"/>
        <c:auto val="1"/>
        <c:lblOffset val="100"/>
        <c:tickLblSkip val="1"/>
        <c:noMultiLvlLbl val="0"/>
      </c:catAx>
      <c:valAx>
        <c:axId val="10805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7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592"/>
          <c:w val="0.194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Project profile "Tallinn - Helsinki Helicopter"</a:t>
            </a:r>
          </a:p>
        </c:rich>
      </c:tx>
      <c:layout>
        <c:manualLayout>
          <c:xMode val="factor"/>
          <c:yMode val="factor"/>
          <c:x val="-0.16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575"/>
          <c:w val="0.64275"/>
          <c:h val="0.82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'Helicopter_payback&amp;ROI'!$B$23:$G$23</c:f>
              <c:numCache/>
            </c:numRef>
          </c:val>
        </c:ser>
        <c:axId val="30140277"/>
        <c:axId val="2827038"/>
      </c:barChart>
      <c:catAx>
        <c:axId val="3014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038"/>
        <c:crosses val="autoZero"/>
        <c:auto val="1"/>
        <c:lblOffset val="100"/>
        <c:tickLblSkip val="1"/>
        <c:noMultiLvlLbl val="0"/>
      </c:catAx>
      <c:valAx>
        <c:axId val="2827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40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37</xdr:row>
      <xdr:rowOff>9525</xdr:rowOff>
    </xdr:from>
    <xdr:to>
      <xdr:col>6</xdr:col>
      <xdr:colOff>466725</xdr:colOff>
      <xdr:row>58</xdr:row>
      <xdr:rowOff>152400</xdr:rowOff>
    </xdr:to>
    <xdr:graphicFrame>
      <xdr:nvGraphicFramePr>
        <xdr:cNvPr id="1" name="Диаграмма 1"/>
        <xdr:cNvGraphicFramePr/>
      </xdr:nvGraphicFramePr>
      <xdr:xfrm>
        <a:off x="933450" y="6048375"/>
        <a:ext cx="70580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37</xdr:row>
      <xdr:rowOff>9525</xdr:rowOff>
    </xdr:from>
    <xdr:to>
      <xdr:col>6</xdr:col>
      <xdr:colOff>466725</xdr:colOff>
      <xdr:row>58</xdr:row>
      <xdr:rowOff>152400</xdr:rowOff>
    </xdr:to>
    <xdr:graphicFrame>
      <xdr:nvGraphicFramePr>
        <xdr:cNvPr id="1" name="Диаграмма 1"/>
        <xdr:cNvGraphicFramePr/>
      </xdr:nvGraphicFramePr>
      <xdr:xfrm>
        <a:off x="933450" y="6048375"/>
        <a:ext cx="70580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37</xdr:row>
      <xdr:rowOff>9525</xdr:rowOff>
    </xdr:from>
    <xdr:to>
      <xdr:col>6</xdr:col>
      <xdr:colOff>466725</xdr:colOff>
      <xdr:row>58</xdr:row>
      <xdr:rowOff>152400</xdr:rowOff>
    </xdr:to>
    <xdr:graphicFrame>
      <xdr:nvGraphicFramePr>
        <xdr:cNvPr id="1" name="Диаграмма 1"/>
        <xdr:cNvGraphicFramePr/>
      </xdr:nvGraphicFramePr>
      <xdr:xfrm>
        <a:off x="933450" y="6210300"/>
        <a:ext cx="70580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37</xdr:row>
      <xdr:rowOff>9525</xdr:rowOff>
    </xdr:from>
    <xdr:to>
      <xdr:col>6</xdr:col>
      <xdr:colOff>466725</xdr:colOff>
      <xdr:row>58</xdr:row>
      <xdr:rowOff>152400</xdr:rowOff>
    </xdr:to>
    <xdr:graphicFrame>
      <xdr:nvGraphicFramePr>
        <xdr:cNvPr id="1" name="Диаграмма 1"/>
        <xdr:cNvGraphicFramePr/>
      </xdr:nvGraphicFramePr>
      <xdr:xfrm>
        <a:off x="933450" y="6048375"/>
        <a:ext cx="70580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G:ferry:airplane:economics%20ENG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ение проектов "/>
      <sheetName val="Таллин-ЭП-15"/>
      <sheetName val="Окупаемость и доходность ЭП-15"/>
      <sheetName val="Паром"/>
      <sheetName val="Таллин-Паром"/>
      <sheetName val="Окупаемость и доходность Паром"/>
      <sheetName val="Самолет"/>
      <sheetName val="Таллин-Самолет"/>
      <sheetName val="Окупаемость и доходность Самол "/>
      <sheetName val="Вертолет"/>
      <sheetName val="Таллин-Вертолет"/>
      <sheetName val="Окупаемость и доходность Верт"/>
    </sheetNames>
    <sheetDataSet>
      <sheetData sheetId="1">
        <row r="14">
          <cell r="D14">
            <v>33.333333333333336</v>
          </cell>
        </row>
        <row r="19">
          <cell r="C19">
            <v>900</v>
          </cell>
        </row>
        <row r="20">
          <cell r="C20">
            <v>167.96159999999998</v>
          </cell>
        </row>
        <row r="36">
          <cell r="D36">
            <v>483785.27995550906</v>
          </cell>
        </row>
        <row r="39">
          <cell r="D39">
            <v>1354890.24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zoomScale="200" zoomScaleNormal="200" zoomScalePageLayoutView="0" workbookViewId="0" topLeftCell="D1">
      <selection activeCell="A19" sqref="A19"/>
    </sheetView>
  </sheetViews>
  <sheetFormatPr defaultColWidth="9.125" defaultRowHeight="12.75"/>
  <cols>
    <col min="1" max="1" width="49.00390625" style="26" customWidth="1"/>
    <col min="2" max="2" width="22.50390625" style="26" customWidth="1"/>
    <col min="3" max="3" width="22.625" style="26" customWidth="1"/>
    <col min="4" max="4" width="21.625" style="26" customWidth="1"/>
    <col min="5" max="5" width="23.375" style="26" customWidth="1"/>
    <col min="6" max="6" width="20.875" style="26" customWidth="1"/>
    <col min="7" max="7" width="19.50390625" style="26" customWidth="1"/>
    <col min="8" max="8" width="18.375" style="26" customWidth="1"/>
    <col min="9" max="9" width="14.50390625" style="26" customWidth="1"/>
    <col min="10" max="10" width="13.625" style="26" customWidth="1"/>
    <col min="11" max="11" width="11.625" style="26" customWidth="1"/>
    <col min="12" max="12" width="16.125" style="26" customWidth="1"/>
    <col min="13" max="13" width="14.125" style="26" customWidth="1"/>
    <col min="14" max="14" width="12.625" style="26" customWidth="1"/>
    <col min="15" max="15" width="13.125" style="26" customWidth="1"/>
    <col min="16" max="16" width="11.00390625" style="26" customWidth="1"/>
    <col min="17" max="17" width="12.625" style="26" customWidth="1"/>
    <col min="18" max="18" width="15.50390625" style="26" customWidth="1"/>
    <col min="19" max="16384" width="9.125" style="26" customWidth="1"/>
  </cols>
  <sheetData>
    <row r="2" spans="1:6" ht="18.75" thickBot="1">
      <c r="A2" s="179" t="s">
        <v>117</v>
      </c>
      <c r="B2" s="180"/>
      <c r="C2" s="180"/>
      <c r="D2" s="180"/>
      <c r="E2" s="180"/>
      <c r="F2" s="129"/>
    </row>
    <row r="3" spans="1:9" ht="31.5">
      <c r="A3" s="23" t="s">
        <v>118</v>
      </c>
      <c r="B3" s="108" t="s">
        <v>119</v>
      </c>
      <c r="C3" s="108" t="s">
        <v>120</v>
      </c>
      <c r="D3" s="108" t="s">
        <v>121</v>
      </c>
      <c r="E3" s="108" t="s">
        <v>122</v>
      </c>
      <c r="F3" s="130"/>
      <c r="G3" s="130"/>
      <c r="H3" s="29"/>
      <c r="I3" s="131"/>
    </row>
    <row r="4" spans="1:9" ht="15.75">
      <c r="A4" s="107"/>
      <c r="B4" s="177" t="s">
        <v>123</v>
      </c>
      <c r="C4" s="178"/>
      <c r="D4" s="178"/>
      <c r="E4" s="178"/>
      <c r="F4" s="130"/>
      <c r="G4" s="130"/>
      <c r="H4" s="29"/>
      <c r="I4" s="131"/>
    </row>
    <row r="5" spans="1:9" ht="12.75">
      <c r="A5" s="104" t="s">
        <v>124</v>
      </c>
      <c r="B5" s="86"/>
      <c r="C5" s="87"/>
      <c r="D5" s="87"/>
      <c r="E5" s="87"/>
      <c r="F5" s="132"/>
      <c r="G5" s="132"/>
      <c r="H5" s="132"/>
      <c r="I5" s="131"/>
    </row>
    <row r="6" spans="1:19" ht="15.75">
      <c r="A6" s="109" t="s">
        <v>125</v>
      </c>
      <c r="B6" s="110">
        <v>33</v>
      </c>
      <c r="C6" s="111">
        <v>40</v>
      </c>
      <c r="D6" s="111">
        <v>166</v>
      </c>
      <c r="E6" s="111">
        <v>120</v>
      </c>
      <c r="F6" s="28"/>
      <c r="G6" s="28"/>
      <c r="H6" s="28"/>
      <c r="I6" s="29"/>
      <c r="L6" s="29"/>
      <c r="M6" s="29"/>
      <c r="N6" s="29"/>
      <c r="O6" s="29"/>
      <c r="P6" s="29"/>
      <c r="Q6" s="29"/>
      <c r="R6" s="29"/>
      <c r="S6" s="29"/>
    </row>
    <row r="7" spans="1:19" ht="15.75">
      <c r="A7" s="11" t="s">
        <v>62</v>
      </c>
      <c r="B7" s="110">
        <v>168</v>
      </c>
      <c r="C7" s="111">
        <v>6000</v>
      </c>
      <c r="D7" s="111">
        <v>48</v>
      </c>
      <c r="E7" s="111">
        <v>48</v>
      </c>
      <c r="F7" s="28"/>
      <c r="G7" s="28"/>
      <c r="H7" s="29"/>
      <c r="I7" s="53"/>
      <c r="L7" s="29"/>
      <c r="M7" s="29"/>
      <c r="N7" s="29"/>
      <c r="O7" s="29"/>
      <c r="P7" s="29"/>
      <c r="Q7" s="29"/>
      <c r="R7" s="29"/>
      <c r="S7" s="29"/>
    </row>
    <row r="8" spans="1:19" ht="16.5" thickBot="1">
      <c r="A8" s="112" t="s">
        <v>126</v>
      </c>
      <c r="B8" s="110">
        <v>0.77</v>
      </c>
      <c r="C8" s="113">
        <v>0.7</v>
      </c>
      <c r="D8" s="113">
        <v>0.91</v>
      </c>
      <c r="E8" s="113">
        <v>0.91</v>
      </c>
      <c r="F8" s="133"/>
      <c r="G8" s="133"/>
      <c r="H8" s="29"/>
      <c r="I8" s="53"/>
      <c r="L8" s="29"/>
      <c r="M8" s="33"/>
      <c r="N8" s="34"/>
      <c r="O8" s="34"/>
      <c r="P8" s="29"/>
      <c r="Q8" s="35"/>
      <c r="R8" s="33"/>
      <c r="S8" s="29"/>
    </row>
    <row r="9" spans="1:19" ht="15.75">
      <c r="A9" s="128" t="s">
        <v>127</v>
      </c>
      <c r="B9" s="114">
        <v>5216</v>
      </c>
      <c r="C9" s="115">
        <v>466036</v>
      </c>
      <c r="D9" s="115">
        <v>12181</v>
      </c>
      <c r="E9" s="115">
        <v>22259</v>
      </c>
      <c r="F9" s="134"/>
      <c r="G9" s="134"/>
      <c r="H9" s="52"/>
      <c r="I9" s="54"/>
      <c r="L9" s="29"/>
      <c r="M9" s="33"/>
      <c r="N9" s="34"/>
      <c r="O9" s="34"/>
      <c r="P9" s="29"/>
      <c r="Q9" s="35"/>
      <c r="R9" s="33"/>
      <c r="S9" s="29"/>
    </row>
    <row r="10" spans="1:19" ht="15.75">
      <c r="A10" s="110"/>
      <c r="B10" s="110"/>
      <c r="C10" s="111"/>
      <c r="D10" s="111"/>
      <c r="E10" s="111"/>
      <c r="F10" s="28"/>
      <c r="G10" s="28"/>
      <c r="H10" s="29"/>
      <c r="I10" s="54"/>
      <c r="L10" s="29"/>
      <c r="M10" s="33"/>
      <c r="N10" s="34"/>
      <c r="O10" s="34"/>
      <c r="P10" s="29"/>
      <c r="Q10" s="35"/>
      <c r="R10" s="33"/>
      <c r="S10" s="29"/>
    </row>
    <row r="11" spans="1:19" ht="15.75">
      <c r="A11" s="110" t="s">
        <v>128</v>
      </c>
      <c r="B11" s="117">
        <v>-2419</v>
      </c>
      <c r="C11" s="111">
        <v>-320296</v>
      </c>
      <c r="D11" s="111">
        <v>-7695</v>
      </c>
      <c r="E11" s="111">
        <v>-10546</v>
      </c>
      <c r="F11" s="28"/>
      <c r="G11" s="28"/>
      <c r="H11" s="29"/>
      <c r="I11" s="54"/>
      <c r="K11" s="38"/>
      <c r="L11" s="29"/>
      <c r="M11" s="33"/>
      <c r="N11" s="34"/>
      <c r="O11" s="34"/>
      <c r="P11" s="29"/>
      <c r="Q11" s="35"/>
      <c r="R11" s="33"/>
      <c r="S11" s="29"/>
    </row>
    <row r="12" spans="1:19" ht="15.75">
      <c r="A12" s="110" t="s">
        <v>129</v>
      </c>
      <c r="B12" s="110">
        <v>-801</v>
      </c>
      <c r="C12" s="111"/>
      <c r="D12" s="111"/>
      <c r="E12" s="111"/>
      <c r="F12" s="28"/>
      <c r="G12" s="28"/>
      <c r="H12" s="29"/>
      <c r="I12" s="54"/>
      <c r="L12" s="29"/>
      <c r="M12" s="33"/>
      <c r="N12" s="34"/>
      <c r="O12" s="34"/>
      <c r="P12" s="29"/>
      <c r="Q12" s="35"/>
      <c r="R12" s="33"/>
      <c r="S12" s="29"/>
    </row>
    <row r="13" spans="1:19" ht="15.75">
      <c r="A13" s="110" t="s">
        <v>130</v>
      </c>
      <c r="B13" s="110">
        <v>-522</v>
      </c>
      <c r="C13" s="111"/>
      <c r="D13" s="111"/>
      <c r="E13" s="111"/>
      <c r="F13" s="28"/>
      <c r="G13" s="28"/>
      <c r="H13" s="29"/>
      <c r="I13" s="54"/>
      <c r="L13" s="29"/>
      <c r="M13" s="33"/>
      <c r="N13" s="34"/>
      <c r="O13" s="34"/>
      <c r="P13" s="29"/>
      <c r="Q13" s="35"/>
      <c r="R13" s="33"/>
      <c r="S13" s="29"/>
    </row>
    <row r="14" spans="1:19" ht="15.75">
      <c r="A14" s="110"/>
      <c r="B14" s="110"/>
      <c r="C14" s="111"/>
      <c r="D14" s="111"/>
      <c r="E14" s="111"/>
      <c r="F14" s="28"/>
      <c r="G14" s="28"/>
      <c r="H14" s="29"/>
      <c r="I14" s="54"/>
      <c r="J14" s="29"/>
      <c r="K14" s="29"/>
      <c r="L14" s="29"/>
      <c r="M14" s="33"/>
      <c r="N14" s="34"/>
      <c r="O14" s="34"/>
      <c r="P14" s="29"/>
      <c r="Q14" s="35"/>
      <c r="R14" s="33"/>
      <c r="S14" s="29"/>
    </row>
    <row r="15" spans="1:19" ht="15.75">
      <c r="A15" s="110" t="s">
        <v>131</v>
      </c>
      <c r="B15" s="111">
        <v>1474</v>
      </c>
      <c r="C15" s="111">
        <v>145740</v>
      </c>
      <c r="D15" s="111">
        <v>4487</v>
      </c>
      <c r="E15" s="111">
        <v>11714</v>
      </c>
      <c r="F15" s="28"/>
      <c r="G15" s="28"/>
      <c r="H15" s="29"/>
      <c r="I15" s="54"/>
      <c r="J15" s="40"/>
      <c r="K15" s="41"/>
      <c r="L15" s="29"/>
      <c r="M15" s="33"/>
      <c r="N15" s="34"/>
      <c r="O15" s="34"/>
      <c r="P15" s="29"/>
      <c r="Q15" s="35"/>
      <c r="R15" s="33"/>
      <c r="S15" s="29"/>
    </row>
    <row r="16" spans="1:19" ht="15.75">
      <c r="A16" s="110"/>
      <c r="B16" s="110"/>
      <c r="C16" s="111"/>
      <c r="D16" s="111"/>
      <c r="E16" s="119"/>
      <c r="F16" s="29"/>
      <c r="G16" s="29"/>
      <c r="H16" s="29"/>
      <c r="I16" s="135"/>
      <c r="J16" s="28"/>
      <c r="K16" s="28"/>
      <c r="L16" s="29"/>
      <c r="M16" s="33"/>
      <c r="N16" s="34"/>
      <c r="O16" s="34"/>
      <c r="P16" s="29"/>
      <c r="Q16" s="35"/>
      <c r="R16" s="33"/>
      <c r="S16" s="29"/>
    </row>
    <row r="17" spans="1:19" s="45" customFormat="1" ht="15.75">
      <c r="A17" s="110" t="s">
        <v>74</v>
      </c>
      <c r="B17" s="110">
        <v>180</v>
      </c>
      <c r="C17" s="111">
        <v>11000</v>
      </c>
      <c r="D17" s="111">
        <v>175</v>
      </c>
      <c r="E17" s="111">
        <v>531</v>
      </c>
      <c r="F17" s="44"/>
      <c r="G17" s="44"/>
      <c r="H17" s="47"/>
      <c r="I17" s="136"/>
      <c r="J17" s="47"/>
      <c r="K17" s="47"/>
      <c r="L17" s="29"/>
      <c r="M17" s="33"/>
      <c r="N17" s="34"/>
      <c r="O17" s="48"/>
      <c r="P17" s="29"/>
      <c r="Q17" s="35"/>
      <c r="R17" s="33"/>
      <c r="S17" s="47"/>
    </row>
    <row r="18" spans="1:19" s="45" customFormat="1" ht="15.75">
      <c r="A18" s="110"/>
      <c r="B18" s="110"/>
      <c r="C18" s="111"/>
      <c r="D18" s="111"/>
      <c r="E18" s="111"/>
      <c r="F18" s="49"/>
      <c r="G18" s="49"/>
      <c r="H18" s="47"/>
      <c r="I18" s="136"/>
      <c r="J18" s="47"/>
      <c r="K18" s="47"/>
      <c r="L18" s="29"/>
      <c r="M18" s="33"/>
      <c r="N18" s="34"/>
      <c r="O18" s="48"/>
      <c r="P18" s="29"/>
      <c r="Q18" s="35"/>
      <c r="R18" s="33"/>
      <c r="S18" s="47"/>
    </row>
    <row r="19" spans="1:19" ht="15.75">
      <c r="A19" s="110" t="s">
        <v>132</v>
      </c>
      <c r="B19" s="111">
        <v>-900</v>
      </c>
      <c r="C19" s="111">
        <v>-110000</v>
      </c>
      <c r="D19" s="111">
        <v>-3495</v>
      </c>
      <c r="E19" s="111">
        <v>-10626</v>
      </c>
      <c r="F19" s="28"/>
      <c r="G19" s="28"/>
      <c r="H19" s="29"/>
      <c r="I19" s="54"/>
      <c r="J19" s="29"/>
      <c r="K19" s="29"/>
      <c r="L19" s="29"/>
      <c r="M19" s="33"/>
      <c r="N19" s="34"/>
      <c r="O19" s="34"/>
      <c r="P19" s="29"/>
      <c r="Q19" s="35"/>
      <c r="R19" s="33"/>
      <c r="S19" s="29"/>
    </row>
    <row r="20" spans="1:19" ht="15.75">
      <c r="A20" s="110" t="s">
        <v>133</v>
      </c>
      <c r="B20" s="110"/>
      <c r="C20" s="111"/>
      <c r="D20" s="111"/>
      <c r="E20" s="111"/>
      <c r="F20" s="28"/>
      <c r="G20" s="28"/>
      <c r="H20" s="29"/>
      <c r="I20" s="53"/>
      <c r="J20" s="51"/>
      <c r="K20" s="40"/>
      <c r="L20" s="29"/>
      <c r="M20" s="33"/>
      <c r="N20" s="34"/>
      <c r="O20" s="34"/>
      <c r="P20" s="29"/>
      <c r="Q20" s="35"/>
      <c r="R20" s="33"/>
      <c r="S20" s="29"/>
    </row>
    <row r="21" spans="1:19" ht="15.75">
      <c r="A21" s="110"/>
      <c r="B21" s="110"/>
      <c r="C21" s="111"/>
      <c r="D21" s="111"/>
      <c r="E21" s="111"/>
      <c r="F21" s="28"/>
      <c r="G21" s="28"/>
      <c r="H21" s="29"/>
      <c r="I21" s="53"/>
      <c r="J21" s="29"/>
      <c r="K21" s="29"/>
      <c r="L21" s="29"/>
      <c r="M21" s="33"/>
      <c r="N21" s="34"/>
      <c r="O21" s="34"/>
      <c r="P21" s="29"/>
      <c r="Q21" s="35"/>
      <c r="R21" s="33"/>
      <c r="S21" s="29"/>
    </row>
    <row r="22" spans="1:19" ht="15.75">
      <c r="A22" s="110"/>
      <c r="B22" s="110"/>
      <c r="C22" s="111"/>
      <c r="D22" s="111"/>
      <c r="E22" s="111"/>
      <c r="F22" s="28"/>
      <c r="G22" s="28"/>
      <c r="H22" s="29"/>
      <c r="I22" s="53"/>
      <c r="J22" s="29"/>
      <c r="K22" s="52"/>
      <c r="L22" s="29"/>
      <c r="M22" s="33"/>
      <c r="N22" s="34"/>
      <c r="O22" s="34"/>
      <c r="P22" s="29"/>
      <c r="Q22" s="35"/>
      <c r="R22" s="33"/>
      <c r="S22" s="29"/>
    </row>
    <row r="23" spans="1:19" ht="15.75">
      <c r="A23" s="110"/>
      <c r="B23" s="110"/>
      <c r="C23" s="111"/>
      <c r="D23" s="111"/>
      <c r="E23" s="111"/>
      <c r="F23" s="28"/>
      <c r="G23" s="28"/>
      <c r="H23" s="29"/>
      <c r="I23" s="53"/>
      <c r="J23" s="29"/>
      <c r="K23" s="29"/>
      <c r="L23" s="29"/>
      <c r="M23" s="33"/>
      <c r="N23" s="34"/>
      <c r="O23" s="34"/>
      <c r="P23" s="29"/>
      <c r="Q23" s="35"/>
      <c r="R23" s="33"/>
      <c r="S23" s="29"/>
    </row>
    <row r="24" spans="1:19" ht="15.75">
      <c r="A24" s="110"/>
      <c r="B24" s="110"/>
      <c r="C24" s="111"/>
      <c r="D24" s="111"/>
      <c r="E24" s="111"/>
      <c r="F24" s="28"/>
      <c r="G24" s="28"/>
      <c r="H24" s="29"/>
      <c r="I24" s="53"/>
      <c r="J24" s="53"/>
      <c r="K24" s="29"/>
      <c r="L24" s="29"/>
      <c r="M24" s="33"/>
      <c r="N24" s="34"/>
      <c r="O24" s="34"/>
      <c r="P24" s="29"/>
      <c r="Q24" s="35"/>
      <c r="R24" s="33"/>
      <c r="S24" s="29"/>
    </row>
    <row r="25" spans="1:19" ht="15.75">
      <c r="A25" s="110"/>
      <c r="B25" s="110"/>
      <c r="C25" s="111"/>
      <c r="D25" s="111"/>
      <c r="E25" s="111"/>
      <c r="F25" s="28"/>
      <c r="G25" s="28"/>
      <c r="H25" s="29"/>
      <c r="I25" s="53"/>
      <c r="J25" s="53"/>
      <c r="K25" s="29"/>
      <c r="L25" s="29"/>
      <c r="M25" s="33"/>
      <c r="N25" s="34"/>
      <c r="O25" s="34"/>
      <c r="P25" s="29"/>
      <c r="Q25" s="35"/>
      <c r="R25" s="33"/>
      <c r="S25" s="29"/>
    </row>
    <row r="26" spans="1:19" ht="19.5" customHeight="1" thickBot="1">
      <c r="A26" s="120" t="s">
        <v>134</v>
      </c>
      <c r="B26" s="121">
        <v>1474</v>
      </c>
      <c r="C26" s="121">
        <v>68741</v>
      </c>
      <c r="D26" s="121">
        <v>1866</v>
      </c>
      <c r="E26" s="121">
        <v>3745</v>
      </c>
      <c r="F26" s="137"/>
      <c r="G26" s="137"/>
      <c r="H26" s="138"/>
      <c r="I26" s="139"/>
      <c r="J26" s="54"/>
      <c r="K26" s="55"/>
      <c r="L26" s="29"/>
      <c r="M26" s="33"/>
      <c r="N26" s="34"/>
      <c r="O26" s="34"/>
      <c r="P26" s="29"/>
      <c r="Q26" s="35"/>
      <c r="R26" s="33"/>
      <c r="S26" s="29"/>
    </row>
    <row r="27" spans="1:19" ht="16.5" thickTop="1">
      <c r="A27" s="122"/>
      <c r="B27" s="114"/>
      <c r="C27" s="123"/>
      <c r="D27" s="123"/>
      <c r="E27" s="123"/>
      <c r="F27" s="57"/>
      <c r="G27" s="57"/>
      <c r="H27" s="29"/>
      <c r="I27" s="53"/>
      <c r="L27" s="29"/>
      <c r="M27" s="33"/>
      <c r="N27" s="34"/>
      <c r="O27" s="34"/>
      <c r="P27" s="29"/>
      <c r="Q27" s="35"/>
      <c r="R27" s="33"/>
      <c r="S27" s="29"/>
    </row>
    <row r="28" spans="1:19" ht="15.75">
      <c r="A28" s="124" t="s">
        <v>135</v>
      </c>
      <c r="B28" s="125"/>
      <c r="C28" s="126"/>
      <c r="D28" s="126"/>
      <c r="E28" s="126"/>
      <c r="F28" s="59"/>
      <c r="G28" s="59"/>
      <c r="H28" s="29"/>
      <c r="I28" s="35"/>
      <c r="L28" s="29"/>
      <c r="M28" s="33"/>
      <c r="N28" s="34"/>
      <c r="O28" s="34"/>
      <c r="P28" s="29"/>
      <c r="Q28" s="35"/>
      <c r="R28" s="33"/>
      <c r="S28" s="29"/>
    </row>
    <row r="29" spans="1:19" ht="15.75">
      <c r="A29" s="116" t="s">
        <v>136</v>
      </c>
      <c r="B29" s="123"/>
      <c r="C29" s="123"/>
      <c r="D29" s="123"/>
      <c r="E29" s="123"/>
      <c r="F29" s="57"/>
      <c r="G29" s="57"/>
      <c r="H29" s="29"/>
      <c r="I29" s="29"/>
      <c r="J29" s="32"/>
      <c r="L29" s="29"/>
      <c r="M29" s="33"/>
      <c r="N29" s="34"/>
      <c r="O29" s="34"/>
      <c r="P29" s="29"/>
      <c r="Q29" s="35"/>
      <c r="R29" s="33"/>
      <c r="S29" s="29"/>
    </row>
    <row r="30" spans="1:19" ht="15.75">
      <c r="A30" s="116" t="s">
        <v>137</v>
      </c>
      <c r="B30" s="123">
        <v>952</v>
      </c>
      <c r="C30" s="123">
        <v>32732</v>
      </c>
      <c r="D30" s="123">
        <v>727</v>
      </c>
      <c r="E30" s="123">
        <v>742</v>
      </c>
      <c r="F30" s="57"/>
      <c r="G30" s="57"/>
      <c r="H30" s="29"/>
      <c r="I30" s="54"/>
      <c r="L30" s="29"/>
      <c r="M30" s="33"/>
      <c r="N30" s="34"/>
      <c r="O30" s="34"/>
      <c r="P30" s="29"/>
      <c r="Q30" s="35"/>
      <c r="R30" s="33"/>
      <c r="S30" s="29"/>
    </row>
    <row r="31" spans="1:19" ht="15.75">
      <c r="A31" s="116"/>
      <c r="B31" s="110"/>
      <c r="C31" s="123"/>
      <c r="D31" s="123"/>
      <c r="E31" s="123"/>
      <c r="F31" s="57"/>
      <c r="G31" s="57"/>
      <c r="H31" s="29"/>
      <c r="I31" s="29"/>
      <c r="L31" s="29"/>
      <c r="M31" s="33"/>
      <c r="N31" s="34"/>
      <c r="O31" s="34"/>
      <c r="P31" s="29"/>
      <c r="Q31" s="35"/>
      <c r="R31" s="33"/>
      <c r="S31" s="29"/>
    </row>
    <row r="32" spans="1:19" ht="15.75">
      <c r="A32" s="124" t="s">
        <v>138</v>
      </c>
      <c r="B32" s="125"/>
      <c r="C32" s="126"/>
      <c r="D32" s="126"/>
      <c r="E32" s="126"/>
      <c r="F32" s="59"/>
      <c r="G32" s="59"/>
      <c r="H32" s="29"/>
      <c r="I32" s="35"/>
      <c r="L32" s="29"/>
      <c r="M32" s="33"/>
      <c r="N32" s="34"/>
      <c r="O32" s="34"/>
      <c r="P32" s="29"/>
      <c r="Q32" s="35"/>
      <c r="R32" s="33"/>
      <c r="S32" s="29"/>
    </row>
    <row r="33" spans="1:19" ht="15.75">
      <c r="A33" s="116" t="s">
        <v>139</v>
      </c>
      <c r="B33" s="123"/>
      <c r="C33" s="123"/>
      <c r="D33" s="123"/>
      <c r="E33" s="123"/>
      <c r="F33" s="57"/>
      <c r="G33" s="57"/>
      <c r="H33" s="29"/>
      <c r="I33" s="29"/>
      <c r="L33" s="29"/>
      <c r="M33" s="33"/>
      <c r="N33" s="34"/>
      <c r="O33" s="34"/>
      <c r="P33" s="29"/>
      <c r="Q33" s="35"/>
      <c r="R33" s="33"/>
      <c r="S33" s="29"/>
    </row>
    <row r="34" spans="1:19" ht="15.75">
      <c r="A34" s="116" t="s">
        <v>137</v>
      </c>
      <c r="B34" s="123">
        <v>753</v>
      </c>
      <c r="C34" s="123">
        <v>18864</v>
      </c>
      <c r="D34" s="123">
        <v>290</v>
      </c>
      <c r="E34" s="123">
        <v>-410</v>
      </c>
      <c r="F34" s="57"/>
      <c r="G34" s="57"/>
      <c r="H34" s="29"/>
      <c r="I34" s="54"/>
      <c r="L34" s="29"/>
      <c r="M34" s="33"/>
      <c r="N34" s="34"/>
      <c r="O34" s="34"/>
      <c r="P34" s="29"/>
      <c r="Q34" s="29"/>
      <c r="R34" s="29"/>
      <c r="S34" s="29"/>
    </row>
    <row r="35" spans="1:19" ht="15.75">
      <c r="A35" s="118"/>
      <c r="B35" s="110"/>
      <c r="C35" s="123"/>
      <c r="D35" s="123"/>
      <c r="E35" s="123"/>
      <c r="F35" s="57"/>
      <c r="G35" s="57"/>
      <c r="H35" s="29"/>
      <c r="I35" s="140"/>
      <c r="L35" s="29"/>
      <c r="M35" s="29"/>
      <c r="N35" s="29"/>
      <c r="O35" s="29"/>
      <c r="P35" s="29"/>
      <c r="Q35" s="29"/>
      <c r="R35" s="33"/>
      <c r="S35" s="29"/>
    </row>
    <row r="36" spans="1:19" ht="15.75" hidden="1">
      <c r="A36" s="116"/>
      <c r="B36" s="110"/>
      <c r="C36" s="123"/>
      <c r="D36" s="105"/>
      <c r="E36" s="105"/>
      <c r="F36" s="63"/>
      <c r="G36" s="63"/>
      <c r="H36" s="29"/>
      <c r="I36" s="29"/>
      <c r="L36" s="29"/>
      <c r="M36" s="29"/>
      <c r="N36" s="29"/>
      <c r="O36" s="29"/>
      <c r="P36" s="29"/>
      <c r="Q36" s="29"/>
      <c r="R36" s="29"/>
      <c r="S36" s="29"/>
    </row>
    <row r="37" spans="1:19" ht="15.75">
      <c r="A37" s="116"/>
      <c r="B37" s="110"/>
      <c r="C37" s="123"/>
      <c r="D37" s="123"/>
      <c r="E37" s="123"/>
      <c r="F37" s="57"/>
      <c r="G37" s="57"/>
      <c r="H37" s="29"/>
      <c r="I37" s="53"/>
      <c r="L37" s="29"/>
      <c r="M37" s="29"/>
      <c r="N37" s="29"/>
      <c r="O37" s="29"/>
      <c r="P37" s="29"/>
      <c r="Q37" s="29"/>
      <c r="R37" s="29"/>
      <c r="S37" s="29"/>
    </row>
    <row r="38" spans="1:19" ht="15.75">
      <c r="A38" s="114" t="s">
        <v>33</v>
      </c>
      <c r="B38" s="114">
        <v>38</v>
      </c>
      <c r="C38" s="114">
        <v>19</v>
      </c>
      <c r="D38" s="114">
        <v>15</v>
      </c>
      <c r="E38" s="114">
        <v>10</v>
      </c>
      <c r="F38" s="57"/>
      <c r="G38" s="57"/>
      <c r="H38" s="29"/>
      <c r="I38" s="141"/>
      <c r="L38" s="29"/>
      <c r="M38" s="29"/>
      <c r="N38" s="29"/>
      <c r="O38" s="29"/>
      <c r="P38" s="29"/>
      <c r="Q38" s="29"/>
      <c r="R38" s="29"/>
      <c r="S38" s="29"/>
    </row>
    <row r="39" spans="1:19" ht="15.75">
      <c r="A39" s="114" t="s">
        <v>140</v>
      </c>
      <c r="B39" s="114">
        <v>42</v>
      </c>
      <c r="C39" s="127">
        <v>49</v>
      </c>
      <c r="D39" s="127">
        <v>53</v>
      </c>
      <c r="E39" s="127">
        <v>57</v>
      </c>
      <c r="F39" s="66"/>
      <c r="G39" s="66"/>
      <c r="H39" s="52"/>
      <c r="I39" s="52"/>
      <c r="L39" s="29"/>
      <c r="M39" s="29"/>
      <c r="N39" s="29"/>
      <c r="O39" s="29"/>
      <c r="P39" s="29"/>
      <c r="Q39" s="29"/>
      <c r="R39" s="29"/>
      <c r="S39" s="29"/>
    </row>
    <row r="40" spans="1:9" ht="15.75">
      <c r="A40" s="114" t="s">
        <v>141</v>
      </c>
      <c r="B40" s="114">
        <v>3.5</v>
      </c>
      <c r="C40" s="127">
        <v>4.1</v>
      </c>
      <c r="D40" s="127">
        <v>4.4</v>
      </c>
      <c r="E40" s="127">
        <v>4.8</v>
      </c>
      <c r="F40" s="66"/>
      <c r="G40" s="66"/>
      <c r="H40" s="52"/>
      <c r="I40" s="52"/>
    </row>
    <row r="41" spans="2:9" ht="12.75">
      <c r="B41" s="90"/>
      <c r="C41" s="90"/>
      <c r="D41" s="90"/>
      <c r="E41" s="106"/>
      <c r="F41" s="29"/>
      <c r="G41" s="29"/>
      <c r="H41" s="29"/>
      <c r="I41" s="29"/>
    </row>
    <row r="42" spans="2:9" ht="12.75">
      <c r="B42" s="90"/>
      <c r="C42" s="90"/>
      <c r="D42" s="90"/>
      <c r="E42" s="90"/>
      <c r="F42" s="29"/>
      <c r="G42" s="29"/>
      <c r="H42" s="29"/>
      <c r="I42" s="29"/>
    </row>
    <row r="43" ht="12.75">
      <c r="E43" s="67"/>
    </row>
  </sheetData>
  <sheetProtection/>
  <mergeCells count="2">
    <mergeCell ref="B4:E4"/>
    <mergeCell ref="A2:E2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80"/>
  <headerFooter alignWithMargins="0">
    <oddHeader>&amp;C&amp;F&amp;R]</oddHeader>
    <oddFooter>&amp;L&amp;6&amp;F   &amp;A  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zoomScale="200" zoomScaleNormal="200" zoomScalePageLayoutView="0" workbookViewId="0" topLeftCell="A1">
      <selection activeCell="C4" sqref="C3:C17"/>
    </sheetView>
  </sheetViews>
  <sheetFormatPr defaultColWidth="8.625" defaultRowHeight="12.75"/>
  <cols>
    <col min="1" max="1" width="10.125" style="0" customWidth="1"/>
    <col min="2" max="2" width="56.375" style="0" customWidth="1"/>
    <col min="3" max="3" width="24.50390625" style="0" customWidth="1"/>
    <col min="4" max="4" width="27.375" style="0" customWidth="1"/>
  </cols>
  <sheetData>
    <row r="1" spans="1:5" ht="24.75" customHeight="1">
      <c r="A1" s="97"/>
      <c r="B1" s="98" t="s">
        <v>162</v>
      </c>
      <c r="C1" s="184" t="s">
        <v>122</v>
      </c>
      <c r="D1" s="184"/>
      <c r="E1" s="96"/>
    </row>
    <row r="2" spans="1:5" ht="15.75">
      <c r="A2" s="100" t="s">
        <v>0</v>
      </c>
      <c r="B2" s="100" t="s">
        <v>124</v>
      </c>
      <c r="C2" s="100" t="s">
        <v>164</v>
      </c>
      <c r="D2" s="100" t="s">
        <v>165</v>
      </c>
      <c r="E2" s="96"/>
    </row>
    <row r="3" spans="1:5" ht="15.75">
      <c r="A3" s="97">
        <v>1</v>
      </c>
      <c r="B3" s="97" t="s">
        <v>205</v>
      </c>
      <c r="C3" s="97" t="s">
        <v>36</v>
      </c>
      <c r="D3" s="101">
        <v>10625500</v>
      </c>
      <c r="E3" s="96"/>
    </row>
    <row r="4" spans="1:5" ht="15.75">
      <c r="A4" s="97">
        <v>2</v>
      </c>
      <c r="B4" s="97" t="s">
        <v>167</v>
      </c>
      <c r="C4" s="97" t="s">
        <v>170</v>
      </c>
      <c r="D4" s="101">
        <v>13</v>
      </c>
      <c r="E4" s="96"/>
    </row>
    <row r="5" spans="1:7" ht="15.75">
      <c r="A5" s="97">
        <v>3</v>
      </c>
      <c r="B5" s="97" t="s">
        <v>194</v>
      </c>
      <c r="C5" s="97" t="s">
        <v>195</v>
      </c>
      <c r="D5" s="101">
        <f>150*1.852</f>
        <v>277.8</v>
      </c>
      <c r="E5" s="96"/>
      <c r="F5" s="96"/>
      <c r="G5" s="96"/>
    </row>
    <row r="6" spans="1:5" ht="15.75">
      <c r="A6" s="97">
        <v>4</v>
      </c>
      <c r="B6" s="97" t="s">
        <v>196</v>
      </c>
      <c r="C6" s="97" t="s">
        <v>170</v>
      </c>
      <c r="D6" s="101">
        <v>1</v>
      </c>
      <c r="E6" s="96"/>
    </row>
    <row r="7" spans="1:5" ht="15.75">
      <c r="A7" s="97">
        <v>5</v>
      </c>
      <c r="B7" s="97" t="s">
        <v>172</v>
      </c>
      <c r="C7" s="97" t="s">
        <v>197</v>
      </c>
      <c r="D7" s="101"/>
      <c r="E7" s="96"/>
    </row>
    <row r="8" spans="1:5" ht="15.75">
      <c r="A8" s="97">
        <v>6</v>
      </c>
      <c r="B8" s="97" t="s">
        <v>198</v>
      </c>
      <c r="C8" s="97" t="s">
        <v>187</v>
      </c>
      <c r="D8" s="101">
        <v>379</v>
      </c>
      <c r="E8" s="96"/>
    </row>
    <row r="9" spans="1:5" ht="15.75">
      <c r="A9" s="97">
        <v>7</v>
      </c>
      <c r="B9" s="102" t="s">
        <v>199</v>
      </c>
      <c r="C9" s="97" t="s">
        <v>68</v>
      </c>
      <c r="D9" s="101">
        <v>206520</v>
      </c>
      <c r="E9" s="96"/>
    </row>
    <row r="10" spans="1:5" ht="15.75">
      <c r="A10" s="97">
        <v>8</v>
      </c>
      <c r="B10" s="102" t="s">
        <v>200</v>
      </c>
      <c r="C10" s="97" t="s">
        <v>68</v>
      </c>
      <c r="D10" s="101">
        <v>79695</v>
      </c>
      <c r="E10" s="96"/>
    </row>
    <row r="11" spans="1:5" ht="15.75">
      <c r="A11" s="97">
        <v>9</v>
      </c>
      <c r="B11" s="97" t="s">
        <v>201</v>
      </c>
      <c r="C11" s="97" t="s">
        <v>68</v>
      </c>
      <c r="D11" s="101">
        <v>50700</v>
      </c>
      <c r="E11" s="96"/>
    </row>
    <row r="12" spans="1:5" ht="15.75">
      <c r="A12" s="97">
        <v>10</v>
      </c>
      <c r="B12" s="176" t="s">
        <v>73</v>
      </c>
      <c r="C12" s="97" t="s">
        <v>68</v>
      </c>
      <c r="D12" s="101">
        <v>83850</v>
      </c>
      <c r="E12" s="96"/>
    </row>
    <row r="13" spans="1:5" ht="15.75">
      <c r="A13" s="97">
        <v>11</v>
      </c>
      <c r="B13" s="97" t="s">
        <v>105</v>
      </c>
      <c r="C13" s="97" t="s">
        <v>68</v>
      </c>
      <c r="D13" s="101">
        <v>13748</v>
      </c>
      <c r="E13" s="96"/>
    </row>
    <row r="14" spans="1:5" ht="15.75">
      <c r="A14" s="97">
        <v>12</v>
      </c>
      <c r="B14" s="97" t="s">
        <v>202</v>
      </c>
      <c r="C14" s="97" t="s">
        <v>68</v>
      </c>
      <c r="D14" s="101">
        <v>3559</v>
      </c>
      <c r="E14" s="96"/>
    </row>
    <row r="15" spans="1:5" ht="15.75">
      <c r="A15" s="97">
        <v>13</v>
      </c>
      <c r="B15" s="97" t="s">
        <v>114</v>
      </c>
      <c r="C15" s="97" t="s">
        <v>68</v>
      </c>
      <c r="D15" s="101">
        <v>271392</v>
      </c>
      <c r="E15" s="96"/>
    </row>
    <row r="16" spans="1:5" ht="15.75">
      <c r="A16" s="97">
        <v>14</v>
      </c>
      <c r="B16" s="97" t="s">
        <v>191</v>
      </c>
      <c r="C16" s="97" t="s">
        <v>68</v>
      </c>
      <c r="D16" s="101">
        <v>7500</v>
      </c>
      <c r="E16" s="96"/>
    </row>
    <row r="17" spans="1:5" ht="15.75">
      <c r="A17" s="97">
        <v>15</v>
      </c>
      <c r="B17" s="97" t="s">
        <v>74</v>
      </c>
      <c r="C17" s="97" t="s">
        <v>68</v>
      </c>
      <c r="D17" s="101">
        <v>531275</v>
      </c>
      <c r="E17" s="96"/>
    </row>
    <row r="18" spans="1:5" ht="15.75">
      <c r="A18" s="96"/>
      <c r="B18" s="96"/>
      <c r="C18" s="96"/>
      <c r="D18" s="96"/>
      <c r="E18" s="96"/>
    </row>
    <row r="19" spans="1:5" ht="15.75">
      <c r="A19" s="96"/>
      <c r="B19" s="96"/>
      <c r="C19" s="96"/>
      <c r="D19" s="96"/>
      <c r="E19" s="96"/>
    </row>
    <row r="20" spans="1:5" ht="15.75">
      <c r="A20" s="96"/>
      <c r="B20" s="96"/>
      <c r="C20" s="96"/>
      <c r="D20" s="96"/>
      <c r="E20" s="96"/>
    </row>
    <row r="21" spans="1:5" ht="15.75">
      <c r="A21" s="96"/>
      <c r="B21" s="96"/>
      <c r="C21" s="96"/>
      <c r="D21" s="96"/>
      <c r="E21" s="96"/>
    </row>
    <row r="22" spans="1:5" ht="15.75">
      <c r="A22" s="96"/>
      <c r="B22" s="96"/>
      <c r="C22" s="96"/>
      <c r="D22" s="96"/>
      <c r="E22" s="96"/>
    </row>
    <row r="23" spans="1:5" ht="15.75">
      <c r="A23" s="96"/>
      <c r="B23" s="96"/>
      <c r="C23" s="96"/>
      <c r="D23" s="96"/>
      <c r="E23" s="96"/>
    </row>
    <row r="24" spans="1:5" ht="15.75">
      <c r="A24" s="96"/>
      <c r="B24" s="96"/>
      <c r="C24" s="96"/>
      <c r="D24" s="96"/>
      <c r="E24" s="96"/>
    </row>
    <row r="25" spans="1:5" ht="15.75">
      <c r="A25" s="96"/>
      <c r="B25" s="96"/>
      <c r="C25" s="96"/>
      <c r="D25" s="96"/>
      <c r="E25" s="96"/>
    </row>
    <row r="26" spans="1:5" ht="15.75">
      <c r="A26" s="96"/>
      <c r="B26" s="96"/>
      <c r="C26" s="96"/>
      <c r="D26" s="96"/>
      <c r="E26" s="96"/>
    </row>
    <row r="27" spans="1:5" ht="15.75">
      <c r="A27" s="96"/>
      <c r="B27" s="96"/>
      <c r="C27" s="96"/>
      <c r="D27" s="96"/>
      <c r="E27" s="96"/>
    </row>
    <row r="28" spans="1:5" ht="15.75">
      <c r="A28" s="96"/>
      <c r="B28" s="96"/>
      <c r="C28" s="96"/>
      <c r="D28" s="96"/>
      <c r="E28" s="96"/>
    </row>
    <row r="29" spans="1:5" ht="15.75">
      <c r="A29" s="96"/>
      <c r="B29" s="96"/>
      <c r="C29" s="96"/>
      <c r="D29" s="96"/>
      <c r="E29" s="96"/>
    </row>
    <row r="30" spans="1:5" ht="15.75">
      <c r="A30" s="96"/>
      <c r="B30" s="96"/>
      <c r="C30" s="96"/>
      <c r="D30" s="96"/>
      <c r="E30" s="96"/>
    </row>
    <row r="31" spans="1:5" ht="15.75">
      <c r="A31" s="96"/>
      <c r="B31" s="96"/>
      <c r="C31" s="96"/>
      <c r="D31" s="96"/>
      <c r="E31" s="96"/>
    </row>
    <row r="32" spans="1:5" ht="15.75">
      <c r="A32" s="96"/>
      <c r="B32" s="96"/>
      <c r="C32" s="96"/>
      <c r="D32" s="96"/>
      <c r="E32" s="96"/>
    </row>
    <row r="33" spans="1:5" ht="15.75">
      <c r="A33" s="96"/>
      <c r="B33" s="96"/>
      <c r="C33" s="96"/>
      <c r="D33" s="96"/>
      <c r="E33" s="96"/>
    </row>
    <row r="34" spans="1:5" ht="15.75">
      <c r="A34" s="96"/>
      <c r="B34" s="96"/>
      <c r="C34" s="96"/>
      <c r="D34" s="96"/>
      <c r="E34" s="96"/>
    </row>
    <row r="35" spans="1:5" ht="15.75">
      <c r="A35" s="96"/>
      <c r="B35" s="96"/>
      <c r="C35" s="96"/>
      <c r="D35" s="96"/>
      <c r="E35" s="96"/>
    </row>
    <row r="36" spans="1:5" ht="15.75">
      <c r="A36" s="96"/>
      <c r="B36" s="96"/>
      <c r="C36" s="96"/>
      <c r="D36" s="96"/>
      <c r="E36" s="96"/>
    </row>
    <row r="37" spans="1:5" ht="15.75">
      <c r="A37" s="96"/>
      <c r="B37" s="96"/>
      <c r="C37" s="96"/>
      <c r="D37" s="96"/>
      <c r="E37" s="96"/>
    </row>
    <row r="38" spans="1:5" ht="15.75">
      <c r="A38" s="96"/>
      <c r="B38" s="96"/>
      <c r="C38" s="96"/>
      <c r="D38" s="96"/>
      <c r="E38" s="96"/>
    </row>
    <row r="39" spans="1:5" ht="15.75">
      <c r="A39" s="96"/>
      <c r="B39" s="96"/>
      <c r="C39" s="96"/>
      <c r="D39" s="96"/>
      <c r="E39" s="96"/>
    </row>
    <row r="40" spans="1:5" ht="15.75">
      <c r="A40" s="96"/>
      <c r="B40" s="96"/>
      <c r="C40" s="96"/>
      <c r="D40" s="96"/>
      <c r="E40" s="96"/>
    </row>
    <row r="41" ht="15.75">
      <c r="E41" s="96"/>
    </row>
    <row r="42" ht="15.75">
      <c r="E42" s="96"/>
    </row>
    <row r="43" ht="15.75">
      <c r="E43" s="96"/>
    </row>
    <row r="44" ht="15.75">
      <c r="E44" s="96"/>
    </row>
    <row r="45" ht="15.75">
      <c r="E45" s="96"/>
    </row>
    <row r="46" ht="15.75">
      <c r="E46" s="96"/>
    </row>
    <row r="47" ht="15.75">
      <c r="E47" s="96"/>
    </row>
    <row r="48" ht="15.75">
      <c r="E48" s="96"/>
    </row>
    <row r="49" ht="15.75">
      <c r="E49" s="96"/>
    </row>
    <row r="50" ht="15.75">
      <c r="E50" s="96"/>
    </row>
    <row r="51" ht="15.75">
      <c r="E51" s="96"/>
    </row>
  </sheetData>
  <sheetProtection/>
  <mergeCells count="1">
    <mergeCell ref="C1:D1"/>
  </mergeCells>
  <printOptions/>
  <pageMargins left="0.75" right="0.75" top="1" bottom="1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3"/>
  <sheetViews>
    <sheetView zoomScale="200" zoomScaleNormal="200" zoomScalePageLayoutView="0" workbookViewId="0" topLeftCell="A1">
      <selection activeCell="A3" sqref="A2:D5"/>
    </sheetView>
  </sheetViews>
  <sheetFormatPr defaultColWidth="11.00390625" defaultRowHeight="12.75"/>
  <cols>
    <col min="1" max="1" width="3.625" style="1" customWidth="1"/>
    <col min="2" max="2" width="61.50390625" style="1" customWidth="1"/>
    <col min="3" max="3" width="11.50390625" style="1" customWidth="1"/>
    <col min="4" max="4" width="11.125" style="1" customWidth="1"/>
    <col min="5" max="16384" width="11.00390625" style="1" customWidth="1"/>
  </cols>
  <sheetData>
    <row r="1" ht="12">
      <c r="D1" s="13"/>
    </row>
    <row r="2" spans="1:4" ht="12.75" customHeight="1">
      <c r="A2" s="181" t="s">
        <v>40</v>
      </c>
      <c r="B2" s="181"/>
      <c r="C2" s="182" t="s">
        <v>55</v>
      </c>
      <c r="D2" s="182"/>
    </row>
    <row r="3" spans="2:3" ht="12">
      <c r="B3" s="183" t="s">
        <v>111</v>
      </c>
      <c r="C3" s="183"/>
    </row>
    <row r="4" spans="2:3" ht="12">
      <c r="B4" s="183" t="s">
        <v>42</v>
      </c>
      <c r="C4" s="183"/>
    </row>
    <row r="5" spans="1:4" s="5" customFormat="1" ht="12">
      <c r="A5" s="2" t="s">
        <v>0</v>
      </c>
      <c r="B5" s="3" t="s">
        <v>96</v>
      </c>
      <c r="C5" s="4" t="s">
        <v>44</v>
      </c>
      <c r="D5" s="19" t="s">
        <v>34</v>
      </c>
    </row>
    <row r="6" spans="1:4" ht="12">
      <c r="A6" s="6" t="s">
        <v>1</v>
      </c>
      <c r="B6" s="3" t="s">
        <v>45</v>
      </c>
      <c r="C6" s="7">
        <v>80</v>
      </c>
      <c r="D6" s="72"/>
    </row>
    <row r="7" spans="1:4" ht="12">
      <c r="A7" s="6" t="s">
        <v>2</v>
      </c>
      <c r="B7" s="3" t="s">
        <v>100</v>
      </c>
      <c r="C7" s="7">
        <v>287</v>
      </c>
      <c r="D7" s="72"/>
    </row>
    <row r="8" spans="1:4" ht="12">
      <c r="A8" s="6" t="s">
        <v>3</v>
      </c>
      <c r="B8" s="3" t="s">
        <v>101</v>
      </c>
      <c r="C8" s="7">
        <v>379</v>
      </c>
      <c r="D8" s="72"/>
    </row>
    <row r="9" spans="1:4" ht="12">
      <c r="A9" s="6" t="s">
        <v>4</v>
      </c>
      <c r="B9" s="3" t="s">
        <v>108</v>
      </c>
      <c r="C9" s="103">
        <v>3.99</v>
      </c>
      <c r="D9" s="72"/>
    </row>
    <row r="10" spans="1:4" ht="12">
      <c r="A10" s="6" t="s">
        <v>5</v>
      </c>
      <c r="B10" s="3" t="s">
        <v>52</v>
      </c>
      <c r="C10" s="7">
        <v>0.5</v>
      </c>
      <c r="D10" s="72"/>
    </row>
    <row r="11" spans="1:4" ht="12">
      <c r="A11" s="6" t="s">
        <v>6</v>
      </c>
      <c r="B11" s="3" t="s">
        <v>53</v>
      </c>
      <c r="C11" s="8">
        <v>8</v>
      </c>
      <c r="D11" s="72"/>
    </row>
    <row r="12" spans="1:4" ht="12">
      <c r="A12" s="6" t="s">
        <v>7</v>
      </c>
      <c r="B12" s="3" t="s">
        <v>54</v>
      </c>
      <c r="C12" s="8">
        <v>1</v>
      </c>
      <c r="D12" s="72"/>
    </row>
    <row r="13" spans="1:4" s="10" customFormat="1" ht="12">
      <c r="A13" s="9" t="s">
        <v>8</v>
      </c>
      <c r="B13" s="3" t="s">
        <v>65</v>
      </c>
      <c r="C13" s="8">
        <v>13</v>
      </c>
      <c r="D13" s="72"/>
    </row>
    <row r="14" spans="1:4" s="10" customFormat="1" ht="12">
      <c r="A14" s="9" t="s">
        <v>9</v>
      </c>
      <c r="B14" s="11" t="s">
        <v>56</v>
      </c>
      <c r="C14" s="17">
        <v>140</v>
      </c>
      <c r="D14" s="20"/>
    </row>
    <row r="15" spans="1:4" s="10" customFormat="1" ht="12">
      <c r="A15" s="9" t="s">
        <v>16</v>
      </c>
      <c r="B15" s="3" t="s">
        <v>57</v>
      </c>
      <c r="C15" s="7">
        <v>28</v>
      </c>
      <c r="D15" s="16"/>
    </row>
    <row r="16" spans="1:4" s="10" customFormat="1" ht="12">
      <c r="A16" s="9" t="s">
        <v>17</v>
      </c>
      <c r="B16" s="3" t="s">
        <v>58</v>
      </c>
      <c r="C16" s="7">
        <v>12</v>
      </c>
      <c r="D16" s="16"/>
    </row>
    <row r="17" spans="1:4" s="10" customFormat="1" ht="12">
      <c r="A17" s="9" t="s">
        <v>23</v>
      </c>
      <c r="B17" s="3" t="s">
        <v>59</v>
      </c>
      <c r="C17" s="7">
        <f>C15*C11</f>
        <v>224</v>
      </c>
      <c r="D17" s="16"/>
    </row>
    <row r="18" spans="1:4" s="10" customFormat="1" ht="12">
      <c r="A18" s="9" t="s">
        <v>30</v>
      </c>
      <c r="B18" s="3" t="s">
        <v>102</v>
      </c>
      <c r="C18" s="7">
        <v>1</v>
      </c>
      <c r="D18" s="16"/>
    </row>
    <row r="19" spans="1:4" s="10" customFormat="1" ht="12">
      <c r="A19" s="9" t="s">
        <v>31</v>
      </c>
      <c r="B19" s="3" t="s">
        <v>110</v>
      </c>
      <c r="C19" s="7">
        <v>10625.5</v>
      </c>
      <c r="D19" s="16"/>
    </row>
    <row r="20" spans="1:4" s="10" customFormat="1" ht="12">
      <c r="A20" s="9" t="s">
        <v>32</v>
      </c>
      <c r="B20" s="11" t="s">
        <v>62</v>
      </c>
      <c r="C20" s="7">
        <f>C11*C13</f>
        <v>104</v>
      </c>
      <c r="D20" s="16"/>
    </row>
    <row r="21" spans="1:4" s="10" customFormat="1" ht="12">
      <c r="A21" s="9"/>
      <c r="B21" s="3" t="s">
        <v>64</v>
      </c>
      <c r="C21" s="7">
        <f>C20*C15</f>
        <v>2912</v>
      </c>
      <c r="D21" s="16"/>
    </row>
    <row r="22" spans="1:4" s="10" customFormat="1" ht="12">
      <c r="A22" s="9"/>
      <c r="B22" s="3" t="s">
        <v>63</v>
      </c>
      <c r="C22" s="7"/>
      <c r="D22" s="17">
        <f>C21*11</f>
        <v>32032</v>
      </c>
    </row>
    <row r="23" spans="1:4" s="10" customFormat="1" ht="12">
      <c r="A23" s="9"/>
      <c r="B23" s="3"/>
      <c r="C23" s="7"/>
      <c r="D23" s="16"/>
    </row>
    <row r="24" spans="1:4" s="10" customFormat="1" ht="12">
      <c r="A24" s="9"/>
      <c r="B24" s="11" t="s">
        <v>66</v>
      </c>
      <c r="C24" s="15" t="s">
        <v>67</v>
      </c>
      <c r="D24" s="142" t="s">
        <v>68</v>
      </c>
    </row>
    <row r="25" spans="1:4" s="10" customFormat="1" ht="12">
      <c r="A25" s="9" t="s">
        <v>10</v>
      </c>
      <c r="B25" s="3" t="s">
        <v>69</v>
      </c>
      <c r="C25" s="73">
        <f>C8*C10</f>
        <v>189.5</v>
      </c>
      <c r="D25" s="74">
        <f>C25*$C$17*$C$16</f>
        <v>509376</v>
      </c>
    </row>
    <row r="26" spans="1:4" s="10" customFormat="1" ht="12">
      <c r="A26" s="9" t="s">
        <v>11</v>
      </c>
      <c r="B26" s="3" t="s">
        <v>70</v>
      </c>
      <c r="C26" s="73">
        <f>(206520+79695)/(C17*C16)</f>
        <v>106.47879464285714</v>
      </c>
      <c r="D26" s="74">
        <f aca="true" t="shared" si="0" ref="D26:D36">C26*$C$17*$C$16</f>
        <v>286215</v>
      </c>
    </row>
    <row r="27" spans="1:4" s="10" customFormat="1" ht="12">
      <c r="A27" s="9" t="s">
        <v>12</v>
      </c>
      <c r="B27" s="3" t="s">
        <v>104</v>
      </c>
      <c r="C27" s="73"/>
      <c r="D27" s="74">
        <f t="shared" si="0"/>
        <v>0</v>
      </c>
    </row>
    <row r="28" spans="1:4" ht="12">
      <c r="A28" s="6" t="s">
        <v>13</v>
      </c>
      <c r="B28" s="3" t="s">
        <v>72</v>
      </c>
      <c r="C28" s="73">
        <f>50700/(C17*C16)</f>
        <v>18.861607142857142</v>
      </c>
      <c r="D28" s="74">
        <f t="shared" si="0"/>
        <v>50700</v>
      </c>
    </row>
    <row r="29" spans="1:4" ht="12">
      <c r="A29" s="6" t="s">
        <v>14</v>
      </c>
      <c r="B29" s="3" t="s">
        <v>73</v>
      </c>
      <c r="C29" s="75">
        <f>83850/(C16*C17)</f>
        <v>31.194196428571427</v>
      </c>
      <c r="D29" s="74">
        <f t="shared" si="0"/>
        <v>83850</v>
      </c>
    </row>
    <row r="30" spans="1:4" ht="12">
      <c r="A30" s="6" t="s">
        <v>15</v>
      </c>
      <c r="B30" s="3" t="s">
        <v>74</v>
      </c>
      <c r="C30" s="73">
        <f>531275/(C17*C16)</f>
        <v>197.6469494047619</v>
      </c>
      <c r="D30" s="74">
        <f t="shared" si="0"/>
        <v>531275</v>
      </c>
    </row>
    <row r="31" spans="1:4" ht="12">
      <c r="A31" s="6" t="s">
        <v>18</v>
      </c>
      <c r="B31" s="3" t="s">
        <v>105</v>
      </c>
      <c r="C31" s="73">
        <f>13748/(C17*C16)</f>
        <v>5.114583333333333</v>
      </c>
      <c r="D31" s="74">
        <f t="shared" si="0"/>
        <v>13747.999999999998</v>
      </c>
    </row>
    <row r="32" spans="1:4" ht="12">
      <c r="A32" s="6" t="s">
        <v>19</v>
      </c>
      <c r="B32" s="3" t="s">
        <v>106</v>
      </c>
      <c r="C32" s="75">
        <f>(3559+271392)/(C16*C17)</f>
        <v>102.28831845238095</v>
      </c>
      <c r="D32" s="74">
        <f t="shared" si="0"/>
        <v>274951</v>
      </c>
    </row>
    <row r="33" spans="1:4" ht="12">
      <c r="A33" s="6" t="s">
        <v>20</v>
      </c>
      <c r="B33" s="3" t="s">
        <v>107</v>
      </c>
      <c r="C33" s="75">
        <f>7500/(C16*C17)</f>
        <v>2.7901785714285716</v>
      </c>
      <c r="D33" s="74">
        <f t="shared" si="0"/>
        <v>7500</v>
      </c>
    </row>
    <row r="34" spans="1:4" ht="12">
      <c r="A34" s="6" t="s">
        <v>21</v>
      </c>
      <c r="B34" s="11" t="s">
        <v>78</v>
      </c>
      <c r="C34" s="76">
        <f>SUM(C25:C33)</f>
        <v>653.8746279761905</v>
      </c>
      <c r="D34" s="74">
        <f t="shared" si="0"/>
        <v>1757615</v>
      </c>
    </row>
    <row r="35" spans="1:4" ht="12">
      <c r="A35" s="6" t="s">
        <v>22</v>
      </c>
      <c r="B35" s="3" t="s">
        <v>79</v>
      </c>
      <c r="C35" s="75">
        <f>C34*20%</f>
        <v>130.7749255952381</v>
      </c>
      <c r="D35" s="74">
        <f t="shared" si="0"/>
        <v>351523</v>
      </c>
    </row>
    <row r="36" spans="1:4" ht="12">
      <c r="A36" s="6" t="s">
        <v>29</v>
      </c>
      <c r="B36" s="11" t="s">
        <v>80</v>
      </c>
      <c r="C36" s="77">
        <f>C34+C35</f>
        <v>784.6495535714286</v>
      </c>
      <c r="D36" s="74">
        <f t="shared" si="0"/>
        <v>2109138</v>
      </c>
    </row>
    <row r="37" spans="1:4" ht="12">
      <c r="A37" s="6"/>
      <c r="B37" s="11"/>
      <c r="C37" s="12"/>
      <c r="D37" s="2"/>
    </row>
    <row r="38" spans="1:4" ht="12">
      <c r="A38" s="6"/>
      <c r="B38" s="11" t="s">
        <v>81</v>
      </c>
      <c r="C38" s="143" t="s">
        <v>83</v>
      </c>
      <c r="D38" s="144" t="s">
        <v>84</v>
      </c>
    </row>
    <row r="39" spans="1:4" ht="12">
      <c r="A39" s="6" t="s">
        <v>24</v>
      </c>
      <c r="B39" s="3" t="s">
        <v>88</v>
      </c>
      <c r="C39" s="75">
        <f>C14*C13</f>
        <v>1820</v>
      </c>
      <c r="D39" s="78">
        <f>C39*C17*C16</f>
        <v>4892160</v>
      </c>
    </row>
    <row r="40" spans="1:4" ht="12">
      <c r="A40" s="6" t="s">
        <v>25</v>
      </c>
      <c r="B40" s="3" t="s">
        <v>82</v>
      </c>
      <c r="C40" s="75">
        <f>C39-C36</f>
        <v>1035.3504464285716</v>
      </c>
      <c r="D40" s="75">
        <f>D39-D36</f>
        <v>2783022</v>
      </c>
    </row>
    <row r="41" spans="1:4" ht="12">
      <c r="A41" s="6"/>
      <c r="B41" s="3" t="s">
        <v>85</v>
      </c>
      <c r="C41" s="79">
        <f>C40/C36*100</f>
        <v>131.9506831700913</v>
      </c>
      <c r="D41" s="78"/>
    </row>
    <row r="42" spans="1:4" ht="12">
      <c r="A42" s="6" t="s">
        <v>26</v>
      </c>
      <c r="B42" s="3" t="s">
        <v>86</v>
      </c>
      <c r="C42" s="75">
        <f>C40*15%</f>
        <v>155.30256696428572</v>
      </c>
      <c r="D42" s="75">
        <f>D40*15%</f>
        <v>417453.3</v>
      </c>
    </row>
    <row r="43" spans="1:4" ht="12">
      <c r="A43" s="6" t="s">
        <v>27</v>
      </c>
      <c r="B43" s="3" t="s">
        <v>87</v>
      </c>
      <c r="C43" s="75">
        <f>240*1.4</f>
        <v>336</v>
      </c>
      <c r="D43" s="75">
        <f>240*1.4*C17*11/C16</f>
        <v>68992</v>
      </c>
    </row>
    <row r="44" spans="1:4" ht="12">
      <c r="A44" s="6" t="s">
        <v>28</v>
      </c>
      <c r="B44" s="3" t="s">
        <v>89</v>
      </c>
      <c r="C44" s="75">
        <f>C40-C42-C43</f>
        <v>544.0478794642859</v>
      </c>
      <c r="D44" s="79">
        <f>D40-D42-D43</f>
        <v>2296576.7</v>
      </c>
    </row>
    <row r="45" spans="1:4" ht="12">
      <c r="A45" s="6"/>
      <c r="B45" s="11" t="s">
        <v>90</v>
      </c>
      <c r="C45" s="77">
        <f>C44/C36*100</f>
        <v>69.33641610932999</v>
      </c>
      <c r="D45" s="78"/>
    </row>
    <row r="46" spans="1:4" ht="12">
      <c r="A46" s="6"/>
      <c r="B46" s="11"/>
      <c r="C46" s="77"/>
      <c r="D46" s="78"/>
    </row>
    <row r="47" spans="1:4" ht="12">
      <c r="A47" s="6"/>
      <c r="B47" s="11" t="s">
        <v>91</v>
      </c>
      <c r="C47" s="15" t="s">
        <v>35</v>
      </c>
      <c r="D47" s="18" t="s">
        <v>35</v>
      </c>
    </row>
    <row r="48" spans="1:4" ht="12">
      <c r="A48" s="6"/>
      <c r="B48" s="3" t="s">
        <v>92</v>
      </c>
      <c r="C48" s="76">
        <f>C40*C17</f>
        <v>231918.50000000003</v>
      </c>
      <c r="D48" s="80">
        <f>C48/$C$16</f>
        <v>19326.541666666668</v>
      </c>
    </row>
    <row r="49" spans="1:4" ht="12">
      <c r="A49" s="6"/>
      <c r="B49" s="3" t="s">
        <v>93</v>
      </c>
      <c r="C49" s="76">
        <f>C44*C17</f>
        <v>121866.72500000003</v>
      </c>
      <c r="D49" s="80">
        <f>C49/$C$16</f>
        <v>10155.560416666669</v>
      </c>
    </row>
    <row r="50" spans="1:4" ht="12">
      <c r="A50" s="6"/>
      <c r="B50" s="3" t="s">
        <v>94</v>
      </c>
      <c r="C50" s="81">
        <f>C48*11</f>
        <v>2551103.5000000005</v>
      </c>
      <c r="D50" s="80">
        <f>C50/$C$16</f>
        <v>212591.95833333337</v>
      </c>
    </row>
    <row r="51" spans="2:4" ht="12">
      <c r="B51" s="3" t="s">
        <v>95</v>
      </c>
      <c r="C51" s="81">
        <f>C49*11</f>
        <v>1340533.9750000003</v>
      </c>
      <c r="D51" s="80">
        <f>C51/$C$16</f>
        <v>111711.16458333336</v>
      </c>
    </row>
    <row r="53" spans="2:4" ht="15.75">
      <c r="B53" s="21"/>
      <c r="C53" s="22"/>
      <c r="D53" s="22"/>
    </row>
  </sheetData>
  <sheetProtection/>
  <mergeCells count="4">
    <mergeCell ref="A2:B2"/>
    <mergeCell ref="C2:D2"/>
    <mergeCell ref="B3:C3"/>
    <mergeCell ref="B4:C4"/>
  </mergeCells>
  <printOptions/>
  <pageMargins left="0.75" right="0.27" top="0.24" bottom="0.23" header="0.17" footer="0.16"/>
  <pageSetup horizontalDpi="300" verticalDpi="300"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="150" zoomScaleNormal="150" zoomScalePageLayoutView="0" workbookViewId="0" topLeftCell="A22">
      <selection activeCell="A3" sqref="A3:A37"/>
    </sheetView>
  </sheetViews>
  <sheetFormatPr defaultColWidth="9.125" defaultRowHeight="12.75"/>
  <cols>
    <col min="1" max="1" width="43.375" style="26" customWidth="1"/>
    <col min="2" max="2" width="10.875" style="26" customWidth="1"/>
    <col min="3" max="7" width="11.125" style="26" customWidth="1"/>
    <col min="8" max="8" width="1.37890625" style="26" customWidth="1"/>
    <col min="9" max="9" width="14.50390625" style="26" customWidth="1"/>
    <col min="10" max="10" width="13.625" style="26" customWidth="1"/>
    <col min="11" max="11" width="11.625" style="26" customWidth="1"/>
    <col min="12" max="12" width="16.125" style="26" customWidth="1"/>
    <col min="13" max="13" width="14.125" style="26" customWidth="1"/>
    <col min="14" max="14" width="12.625" style="26" customWidth="1"/>
    <col min="15" max="15" width="13.125" style="26" customWidth="1"/>
    <col min="16" max="16" width="11.00390625" style="26" customWidth="1"/>
    <col min="17" max="17" width="12.625" style="26" customWidth="1"/>
    <col min="18" max="18" width="15.50390625" style="26" customWidth="1"/>
    <col min="19" max="16384" width="9.125" style="26" customWidth="1"/>
  </cols>
  <sheetData>
    <row r="1" spans="1:9" ht="12.75">
      <c r="A1" s="23"/>
      <c r="B1" s="23"/>
      <c r="C1" s="23"/>
      <c r="D1" s="23"/>
      <c r="E1" s="23"/>
      <c r="F1" s="23"/>
      <c r="G1" s="23"/>
      <c r="H1" s="24"/>
      <c r="I1" s="25" t="s">
        <v>147</v>
      </c>
    </row>
    <row r="2" spans="1:9" ht="12.75">
      <c r="A2" s="86"/>
      <c r="B2" s="86"/>
      <c r="C2" s="87" t="s">
        <v>142</v>
      </c>
      <c r="D2" s="87" t="s">
        <v>143</v>
      </c>
      <c r="E2" s="87" t="s">
        <v>144</v>
      </c>
      <c r="F2" s="87" t="s">
        <v>145</v>
      </c>
      <c r="G2" s="87" t="s">
        <v>146</v>
      </c>
      <c r="H2" s="87"/>
      <c r="I2" s="88" t="s">
        <v>148</v>
      </c>
    </row>
    <row r="3" spans="1:19" ht="12.75">
      <c r="A3" s="145" t="s">
        <v>125</v>
      </c>
      <c r="B3" s="86"/>
      <c r="C3" s="89">
        <f>Helicopter_opercosts!C14</f>
        <v>140</v>
      </c>
      <c r="D3" s="89">
        <f aca="true" t="shared" si="0" ref="D3:G4">C3</f>
        <v>140</v>
      </c>
      <c r="E3" s="89">
        <f t="shared" si="0"/>
        <v>140</v>
      </c>
      <c r="F3" s="89">
        <f t="shared" si="0"/>
        <v>140</v>
      </c>
      <c r="G3" s="89">
        <f t="shared" si="0"/>
        <v>140</v>
      </c>
      <c r="H3" s="89"/>
      <c r="I3" s="90"/>
      <c r="L3" s="29"/>
      <c r="M3" s="29"/>
      <c r="N3" s="29"/>
      <c r="O3" s="29"/>
      <c r="P3" s="29"/>
      <c r="Q3" s="29"/>
      <c r="R3" s="29"/>
      <c r="S3" s="29"/>
    </row>
    <row r="4" spans="1:19" ht="12.75">
      <c r="A4" s="172" t="s">
        <v>62</v>
      </c>
      <c r="B4" s="86"/>
      <c r="C4" s="89">
        <f>Airplane_opercosts!C20</f>
        <v>48</v>
      </c>
      <c r="D4" s="89">
        <f t="shared" si="0"/>
        <v>48</v>
      </c>
      <c r="E4" s="89">
        <f t="shared" si="0"/>
        <v>48</v>
      </c>
      <c r="F4" s="89">
        <f t="shared" si="0"/>
        <v>48</v>
      </c>
      <c r="G4" s="89">
        <f t="shared" si="0"/>
        <v>48</v>
      </c>
      <c r="H4" s="90"/>
      <c r="I4" s="91"/>
      <c r="L4" s="29"/>
      <c r="M4" s="29"/>
      <c r="N4" s="29"/>
      <c r="O4" s="29"/>
      <c r="P4" s="29"/>
      <c r="Q4" s="29"/>
      <c r="R4" s="29"/>
      <c r="S4" s="29"/>
    </row>
    <row r="5" spans="1:19" ht="13.5" thickBot="1">
      <c r="A5" s="146" t="s">
        <v>157</v>
      </c>
      <c r="B5" s="92"/>
      <c r="C5" s="93">
        <v>0.8</v>
      </c>
      <c r="D5" s="93">
        <v>0.9</v>
      </c>
      <c r="E5" s="93">
        <v>0.95</v>
      </c>
      <c r="F5" s="93">
        <v>0.95</v>
      </c>
      <c r="G5" s="93">
        <v>0.95</v>
      </c>
      <c r="H5" s="94"/>
      <c r="I5" s="95"/>
      <c r="L5" s="29"/>
      <c r="M5" s="33"/>
      <c r="N5" s="34"/>
      <c r="O5" s="34"/>
      <c r="P5" s="29"/>
      <c r="Q5" s="35"/>
      <c r="R5" s="33"/>
      <c r="S5" s="29"/>
    </row>
    <row r="6" spans="1:19" ht="13.5" thickBot="1">
      <c r="A6" s="147" t="s">
        <v>158</v>
      </c>
      <c r="B6" s="82"/>
      <c r="C6" s="83">
        <f>Helicopter_opercosts!$D$39*C5/1000</f>
        <v>3913.728</v>
      </c>
      <c r="D6" s="83">
        <f>Helicopter_opercosts!$D$39*D5/1000</f>
        <v>4402.944</v>
      </c>
      <c r="E6" s="83">
        <f>Helicopter_opercosts!$D$39*E5/1000</f>
        <v>4647.552</v>
      </c>
      <c r="F6" s="83">
        <f>Helicopter_opercosts!$D$39*F5/1000</f>
        <v>4647.552</v>
      </c>
      <c r="G6" s="83">
        <f>Helicopter_opercosts!$D$39*G5/1000</f>
        <v>4647.552</v>
      </c>
      <c r="H6" s="84"/>
      <c r="I6" s="85">
        <f aca="true" t="shared" si="1" ref="I6:I11">SUM(B6:H6)</f>
        <v>22259.327999999998</v>
      </c>
      <c r="L6" s="29"/>
      <c r="M6" s="33"/>
      <c r="N6" s="34"/>
      <c r="O6" s="34"/>
      <c r="P6" s="29"/>
      <c r="Q6" s="35"/>
      <c r="R6" s="33"/>
      <c r="S6" s="29"/>
    </row>
    <row r="7" spans="1:19" ht="12.75">
      <c r="A7" s="152"/>
      <c r="B7" s="27"/>
      <c r="C7" s="28"/>
      <c r="D7" s="28"/>
      <c r="E7" s="28"/>
      <c r="F7" s="28"/>
      <c r="G7" s="28"/>
      <c r="I7" s="36">
        <f t="shared" si="1"/>
        <v>0</v>
      </c>
      <c r="L7" s="29"/>
      <c r="M7" s="33"/>
      <c r="N7" s="34"/>
      <c r="O7" s="34"/>
      <c r="P7" s="29"/>
      <c r="Q7" s="35"/>
      <c r="R7" s="33"/>
      <c r="S7" s="29"/>
    </row>
    <row r="8" spans="1:19" ht="12.75">
      <c r="A8" s="152" t="s">
        <v>128</v>
      </c>
      <c r="B8" s="37"/>
      <c r="C8" s="28">
        <f>-Helicopter_opercosts!D36/1000</f>
        <v>-2109.138</v>
      </c>
      <c r="D8" s="28">
        <f>C8</f>
        <v>-2109.138</v>
      </c>
      <c r="E8" s="28">
        <f>D8</f>
        <v>-2109.138</v>
      </c>
      <c r="F8" s="28">
        <f>E8</f>
        <v>-2109.138</v>
      </c>
      <c r="G8" s="28">
        <f>F8</f>
        <v>-2109.138</v>
      </c>
      <c r="I8" s="36">
        <f t="shared" si="1"/>
        <v>-10545.689999999999</v>
      </c>
      <c r="K8" s="38"/>
      <c r="L8" s="29"/>
      <c r="M8" s="33"/>
      <c r="N8" s="34"/>
      <c r="O8" s="34"/>
      <c r="P8" s="29"/>
      <c r="Q8" s="35"/>
      <c r="R8" s="33"/>
      <c r="S8" s="29"/>
    </row>
    <row r="9" spans="1:19" ht="12.75">
      <c r="A9" s="152" t="s">
        <v>129</v>
      </c>
      <c r="B9" s="27"/>
      <c r="C9" s="28"/>
      <c r="D9" s="28"/>
      <c r="E9" s="28"/>
      <c r="F9" s="28"/>
      <c r="G9" s="28"/>
      <c r="I9" s="36">
        <f t="shared" si="1"/>
        <v>0</v>
      </c>
      <c r="L9" s="29"/>
      <c r="M9" s="33"/>
      <c r="N9" s="34"/>
      <c r="O9" s="34"/>
      <c r="P9" s="29"/>
      <c r="Q9" s="35"/>
      <c r="R9" s="33"/>
      <c r="S9" s="29"/>
    </row>
    <row r="10" spans="1:19" ht="12.75">
      <c r="A10" s="152" t="s">
        <v>130</v>
      </c>
      <c r="B10" s="27"/>
      <c r="C10" s="28"/>
      <c r="D10" s="28"/>
      <c r="E10" s="28"/>
      <c r="F10" s="28"/>
      <c r="G10" s="28"/>
      <c r="I10" s="36">
        <f t="shared" si="1"/>
        <v>0</v>
      </c>
      <c r="L10" s="29"/>
      <c r="M10" s="33"/>
      <c r="N10" s="34"/>
      <c r="O10" s="34"/>
      <c r="P10" s="29"/>
      <c r="Q10" s="35"/>
      <c r="R10" s="33"/>
      <c r="S10" s="29"/>
    </row>
    <row r="11" spans="1:19" ht="12.75">
      <c r="A11" s="173"/>
      <c r="B11" s="30"/>
      <c r="C11" s="31"/>
      <c r="D11" s="31"/>
      <c r="E11" s="31"/>
      <c r="F11" s="31"/>
      <c r="G11" s="31"/>
      <c r="H11" s="24"/>
      <c r="I11" s="39">
        <f t="shared" si="1"/>
        <v>0</v>
      </c>
      <c r="J11" s="29"/>
      <c r="K11" s="29"/>
      <c r="L11" s="29"/>
      <c r="M11" s="33"/>
      <c r="N11" s="34"/>
      <c r="O11" s="34"/>
      <c r="P11" s="29"/>
      <c r="Q11" s="35"/>
      <c r="R11" s="33"/>
      <c r="S11" s="29"/>
    </row>
    <row r="12" spans="1:19" ht="12.75">
      <c r="A12" s="173" t="s">
        <v>131</v>
      </c>
      <c r="B12" s="31">
        <f aca="true" t="shared" si="2" ref="B12:G12">B6+B8+B9+B11+B10</f>
        <v>0</v>
      </c>
      <c r="C12" s="31">
        <f t="shared" si="2"/>
        <v>1804.5900000000001</v>
      </c>
      <c r="D12" s="31">
        <f t="shared" si="2"/>
        <v>2293.8060000000005</v>
      </c>
      <c r="E12" s="31">
        <f t="shared" si="2"/>
        <v>2538.4139999999998</v>
      </c>
      <c r="F12" s="31">
        <f t="shared" si="2"/>
        <v>2538.4139999999998</v>
      </c>
      <c r="G12" s="31">
        <f t="shared" si="2"/>
        <v>2538.4139999999998</v>
      </c>
      <c r="H12" s="24"/>
      <c r="I12" s="39">
        <f>SUM(I6:I11)</f>
        <v>11713.637999999999</v>
      </c>
      <c r="J12" s="40"/>
      <c r="K12" s="41"/>
      <c r="L12" s="29"/>
      <c r="M12" s="33"/>
      <c r="N12" s="34"/>
      <c r="O12" s="34"/>
      <c r="P12" s="29"/>
      <c r="Q12" s="35"/>
      <c r="R12" s="33"/>
      <c r="S12" s="29"/>
    </row>
    <row r="13" spans="1:19" ht="12.75">
      <c r="A13" s="152"/>
      <c r="B13" s="27"/>
      <c r="C13" s="28"/>
      <c r="D13" s="28"/>
      <c r="I13" s="42"/>
      <c r="J13" s="28"/>
      <c r="K13" s="28"/>
      <c r="L13" s="29"/>
      <c r="M13" s="33"/>
      <c r="N13" s="34"/>
      <c r="O13" s="34"/>
      <c r="P13" s="29"/>
      <c r="Q13" s="35"/>
      <c r="R13" s="33"/>
      <c r="S13" s="29"/>
    </row>
    <row r="14" spans="1:19" s="45" customFormat="1" ht="12.75">
      <c r="A14" s="152" t="s">
        <v>204</v>
      </c>
      <c r="B14" s="43"/>
      <c r="C14" s="44">
        <f>Helicopter_opercosts!D30/1000</f>
        <v>531.275</v>
      </c>
      <c r="D14" s="44">
        <f>C14</f>
        <v>531.275</v>
      </c>
      <c r="E14" s="44">
        <f>D14</f>
        <v>531.275</v>
      </c>
      <c r="F14" s="44">
        <f>E14</f>
        <v>531.275</v>
      </c>
      <c r="G14" s="44">
        <f>F14</f>
        <v>531.275</v>
      </c>
      <c r="I14" s="46">
        <f>SUM(B14:F14)</f>
        <v>2125.1</v>
      </c>
      <c r="J14" s="47"/>
      <c r="K14" s="47"/>
      <c r="L14" s="29"/>
      <c r="M14" s="33"/>
      <c r="N14" s="34"/>
      <c r="O14" s="48"/>
      <c r="P14" s="29"/>
      <c r="Q14" s="35"/>
      <c r="R14" s="33"/>
      <c r="S14" s="47"/>
    </row>
    <row r="15" spans="1:19" s="45" customFormat="1" ht="12.75">
      <c r="A15" s="152"/>
      <c r="B15" s="43"/>
      <c r="C15" s="49"/>
      <c r="D15" s="49"/>
      <c r="E15" s="49"/>
      <c r="F15" s="49"/>
      <c r="G15" s="49"/>
      <c r="I15" s="46"/>
      <c r="J15" s="47"/>
      <c r="K15" s="47"/>
      <c r="L15" s="29"/>
      <c r="M15" s="33"/>
      <c r="N15" s="34"/>
      <c r="O15" s="48"/>
      <c r="P15" s="29"/>
      <c r="Q15" s="35"/>
      <c r="R15" s="33"/>
      <c r="S15" s="47"/>
    </row>
    <row r="16" spans="1:19" ht="12.75">
      <c r="A16" s="145" t="s">
        <v>132</v>
      </c>
      <c r="B16" s="50">
        <f>-Helicopter_opercosts!C19</f>
        <v>-10625.5</v>
      </c>
      <c r="C16" s="28"/>
      <c r="D16" s="28"/>
      <c r="E16" s="28"/>
      <c r="F16" s="28"/>
      <c r="G16" s="28"/>
      <c r="I16" s="36">
        <f aca="true" t="shared" si="3" ref="I16:I21">SUM(B16:G16)</f>
        <v>-10625.5</v>
      </c>
      <c r="J16" s="29"/>
      <c r="K16" s="29"/>
      <c r="L16" s="29"/>
      <c r="M16" s="33"/>
      <c r="N16" s="34"/>
      <c r="O16" s="34"/>
      <c r="P16" s="29"/>
      <c r="Q16" s="35"/>
      <c r="R16" s="33"/>
      <c r="S16" s="29"/>
    </row>
    <row r="17" spans="1:19" ht="12.75">
      <c r="A17" s="145" t="s">
        <v>133</v>
      </c>
      <c r="B17" s="27"/>
      <c r="C17" s="28"/>
      <c r="D17" s="28"/>
      <c r="E17" s="28"/>
      <c r="F17" s="28"/>
      <c r="G17" s="28"/>
      <c r="I17" s="32">
        <f t="shared" si="3"/>
        <v>0</v>
      </c>
      <c r="J17" s="51"/>
      <c r="K17" s="40"/>
      <c r="L17" s="29"/>
      <c r="M17" s="33"/>
      <c r="N17" s="34"/>
      <c r="O17" s="34"/>
      <c r="P17" s="29"/>
      <c r="Q17" s="35"/>
      <c r="R17" s="33"/>
      <c r="S17" s="29"/>
    </row>
    <row r="18" spans="1:19" ht="12.75">
      <c r="A18" s="152"/>
      <c r="B18" s="27"/>
      <c r="C18" s="28"/>
      <c r="D18" s="28"/>
      <c r="E18" s="28"/>
      <c r="F18" s="28"/>
      <c r="G18" s="28"/>
      <c r="I18" s="32">
        <f t="shared" si="3"/>
        <v>0</v>
      </c>
      <c r="J18" s="29"/>
      <c r="K18" s="29"/>
      <c r="L18" s="29"/>
      <c r="M18" s="33"/>
      <c r="N18" s="34"/>
      <c r="O18" s="34"/>
      <c r="P18" s="29"/>
      <c r="Q18" s="35"/>
      <c r="R18" s="33"/>
      <c r="S18" s="29"/>
    </row>
    <row r="19" spans="1:19" ht="12.75">
      <c r="A19" s="152"/>
      <c r="B19" s="27"/>
      <c r="C19" s="28"/>
      <c r="D19" s="28"/>
      <c r="E19" s="28"/>
      <c r="F19" s="28"/>
      <c r="G19" s="28"/>
      <c r="I19" s="32">
        <f t="shared" si="3"/>
        <v>0</v>
      </c>
      <c r="J19" s="29"/>
      <c r="K19" s="52"/>
      <c r="L19" s="29"/>
      <c r="M19" s="33"/>
      <c r="N19" s="34"/>
      <c r="O19" s="34"/>
      <c r="P19" s="29"/>
      <c r="Q19" s="35"/>
      <c r="R19" s="33"/>
      <c r="S19" s="29"/>
    </row>
    <row r="20" spans="1:19" ht="12.75">
      <c r="A20" s="152"/>
      <c r="B20" s="27"/>
      <c r="C20" s="28"/>
      <c r="D20" s="28"/>
      <c r="E20" s="28"/>
      <c r="F20" s="28"/>
      <c r="G20" s="28"/>
      <c r="I20" s="32">
        <f t="shared" si="3"/>
        <v>0</v>
      </c>
      <c r="J20" s="29"/>
      <c r="K20" s="29"/>
      <c r="L20" s="29"/>
      <c r="M20" s="33"/>
      <c r="N20" s="34"/>
      <c r="O20" s="34"/>
      <c r="P20" s="29"/>
      <c r="Q20" s="35"/>
      <c r="R20" s="33"/>
      <c r="S20" s="29"/>
    </row>
    <row r="21" spans="1:19" ht="12.75">
      <c r="A21" s="152"/>
      <c r="B21" s="27"/>
      <c r="C21" s="28"/>
      <c r="D21" s="28"/>
      <c r="E21" s="28"/>
      <c r="F21" s="28"/>
      <c r="G21" s="28"/>
      <c r="I21" s="32">
        <f t="shared" si="3"/>
        <v>0</v>
      </c>
      <c r="J21" s="53"/>
      <c r="K21" s="29"/>
      <c r="L21" s="29"/>
      <c r="M21" s="33"/>
      <c r="N21" s="34"/>
      <c r="O21" s="34"/>
      <c r="P21" s="29"/>
      <c r="Q21" s="35"/>
      <c r="R21" s="33"/>
      <c r="S21" s="29"/>
    </row>
    <row r="22" spans="1:19" ht="12.75">
      <c r="A22" s="152"/>
      <c r="B22" s="27"/>
      <c r="C22" s="28"/>
      <c r="D22" s="28"/>
      <c r="E22" s="28"/>
      <c r="F22" s="28"/>
      <c r="G22" s="28"/>
      <c r="I22" s="32"/>
      <c r="J22" s="53"/>
      <c r="K22" s="29"/>
      <c r="L22" s="29"/>
      <c r="M22" s="33"/>
      <c r="N22" s="34"/>
      <c r="O22" s="34"/>
      <c r="P22" s="29"/>
      <c r="Q22" s="35"/>
      <c r="R22" s="33"/>
      <c r="S22" s="29"/>
    </row>
    <row r="23" spans="1:19" ht="19.5" customHeight="1" thickBot="1">
      <c r="A23" s="159" t="s">
        <v>134</v>
      </c>
      <c r="B23" s="69">
        <f aca="true" t="shared" si="4" ref="B23:G23">SUM(B12:B22)</f>
        <v>-10625.5</v>
      </c>
      <c r="C23" s="69">
        <f t="shared" si="4"/>
        <v>2335.8650000000002</v>
      </c>
      <c r="D23" s="69">
        <f t="shared" si="4"/>
        <v>2825.0810000000006</v>
      </c>
      <c r="E23" s="69">
        <f t="shared" si="4"/>
        <v>3069.689</v>
      </c>
      <c r="F23" s="69">
        <f t="shared" si="4"/>
        <v>3069.689</v>
      </c>
      <c r="G23" s="69">
        <f t="shared" si="4"/>
        <v>3069.689</v>
      </c>
      <c r="H23" s="70"/>
      <c r="I23" s="71">
        <f>SUM(B23:H23)</f>
        <v>3744.5129999999995</v>
      </c>
      <c r="J23" s="54"/>
      <c r="K23" s="55"/>
      <c r="L23" s="29"/>
      <c r="M23" s="33"/>
      <c r="N23" s="34"/>
      <c r="O23" s="34"/>
      <c r="P23" s="29"/>
      <c r="Q23" s="35"/>
      <c r="R23" s="33"/>
      <c r="S23" s="29"/>
    </row>
    <row r="24" spans="1:19" ht="13.5" thickTop="1">
      <c r="A24" s="165"/>
      <c r="B24" s="56"/>
      <c r="C24" s="57"/>
      <c r="D24" s="57"/>
      <c r="E24" s="57"/>
      <c r="F24" s="57"/>
      <c r="G24" s="57"/>
      <c r="I24" s="32"/>
      <c r="L24" s="29"/>
      <c r="M24" s="33"/>
      <c r="N24" s="34"/>
      <c r="O24" s="34"/>
      <c r="P24" s="29"/>
      <c r="Q24" s="35"/>
      <c r="R24" s="33"/>
      <c r="S24" s="29"/>
    </row>
    <row r="25" spans="1:19" ht="12.75">
      <c r="A25" s="174" t="s">
        <v>135</v>
      </c>
      <c r="B25" s="58">
        <v>1</v>
      </c>
      <c r="C25" s="59">
        <f>B25/(1+$I$25)</f>
        <v>0.9259259259259258</v>
      </c>
      <c r="D25" s="59">
        <f>C25/(1+$I$25)</f>
        <v>0.8573388203017831</v>
      </c>
      <c r="E25" s="59">
        <f>D25/(1+$I$25)</f>
        <v>0.7938322410201695</v>
      </c>
      <c r="F25" s="59">
        <f>E25/(1+$I$25)</f>
        <v>0.7350298527964532</v>
      </c>
      <c r="G25" s="59">
        <f>F25/(1+$I$25)</f>
        <v>0.6805831970337529</v>
      </c>
      <c r="I25" s="60">
        <v>0.08</v>
      </c>
      <c r="L25" s="29"/>
      <c r="M25" s="33"/>
      <c r="N25" s="34"/>
      <c r="O25" s="34"/>
      <c r="P25" s="29"/>
      <c r="Q25" s="35"/>
      <c r="R25" s="33"/>
      <c r="S25" s="29"/>
    </row>
    <row r="26" spans="1:19" ht="13.5" thickBot="1">
      <c r="A26" s="152" t="s">
        <v>161</v>
      </c>
      <c r="B26" s="57">
        <f aca="true" t="shared" si="5" ref="B26:G26">B25*B23</f>
        <v>-10625.5</v>
      </c>
      <c r="C26" s="57">
        <f t="shared" si="5"/>
        <v>2162.837962962963</v>
      </c>
      <c r="D26" s="57">
        <f t="shared" si="5"/>
        <v>2422.0516117969823</v>
      </c>
      <c r="E26" s="57">
        <f t="shared" si="5"/>
        <v>2436.8180981049627</v>
      </c>
      <c r="F26" s="57">
        <f t="shared" si="5"/>
        <v>2256.3130538008913</v>
      </c>
      <c r="G26" s="57">
        <f t="shared" si="5"/>
        <v>2089.178753519344</v>
      </c>
      <c r="J26" s="32"/>
      <c r="L26" s="29"/>
      <c r="M26" s="33"/>
      <c r="N26" s="34"/>
      <c r="O26" s="34"/>
      <c r="P26" s="29"/>
      <c r="Q26" s="35"/>
      <c r="R26" s="33"/>
      <c r="S26" s="29"/>
    </row>
    <row r="27" spans="1:19" ht="13.5" thickBot="1">
      <c r="A27" s="152" t="s">
        <v>137</v>
      </c>
      <c r="B27" s="57">
        <f>B26</f>
        <v>-10625.5</v>
      </c>
      <c r="C27" s="57">
        <f>B27+C26</f>
        <v>-8462.662037037036</v>
      </c>
      <c r="D27" s="57">
        <f>C27+D26</f>
        <v>-6040.610425240055</v>
      </c>
      <c r="E27" s="57">
        <f>D27+E26</f>
        <v>-3603.792327135092</v>
      </c>
      <c r="F27" s="57">
        <f>E27+F26</f>
        <v>-1347.4792733342006</v>
      </c>
      <c r="G27" s="57">
        <f>F27+G26</f>
        <v>741.6994801851433</v>
      </c>
      <c r="I27" s="68">
        <f>G27</f>
        <v>741.6994801851433</v>
      </c>
      <c r="L27" s="29"/>
      <c r="M27" s="33"/>
      <c r="N27" s="34"/>
      <c r="O27" s="34"/>
      <c r="P27" s="29"/>
      <c r="Q27" s="35"/>
      <c r="R27" s="33"/>
      <c r="S27" s="29"/>
    </row>
    <row r="28" spans="1:19" ht="12.75">
      <c r="A28" s="152"/>
      <c r="B28" s="27"/>
      <c r="C28" s="57"/>
      <c r="D28" s="57"/>
      <c r="E28" s="57"/>
      <c r="F28" s="57"/>
      <c r="G28" s="57"/>
      <c r="L28" s="29"/>
      <c r="M28" s="33"/>
      <c r="N28" s="34"/>
      <c r="O28" s="34"/>
      <c r="P28" s="29"/>
      <c r="Q28" s="35"/>
      <c r="R28" s="33"/>
      <c r="S28" s="29"/>
    </row>
    <row r="29" spans="1:19" ht="12.75">
      <c r="A29" s="174" t="s">
        <v>159</v>
      </c>
      <c r="B29" s="58">
        <v>1</v>
      </c>
      <c r="C29" s="59">
        <f>B29/(1+$I$29)</f>
        <v>0.8928571428571428</v>
      </c>
      <c r="D29" s="59">
        <f>C29/(1+$I$29)</f>
        <v>0.7971938775510202</v>
      </c>
      <c r="E29" s="59">
        <f>D29/(1+$I$29)</f>
        <v>0.7117802478134109</v>
      </c>
      <c r="F29" s="59">
        <f>E29/(1+$I$29)</f>
        <v>0.6355180784048311</v>
      </c>
      <c r="G29" s="59">
        <f>F29/(1+$I$29)</f>
        <v>0.5674268557185992</v>
      </c>
      <c r="I29" s="60">
        <v>0.12</v>
      </c>
      <c r="L29" s="29"/>
      <c r="M29" s="33"/>
      <c r="N29" s="34"/>
      <c r="O29" s="34"/>
      <c r="P29" s="29"/>
      <c r="Q29" s="35"/>
      <c r="R29" s="33"/>
      <c r="S29" s="29"/>
    </row>
    <row r="30" spans="1:19" ht="13.5" thickBot="1">
      <c r="A30" s="152" t="s">
        <v>160</v>
      </c>
      <c r="B30" s="57">
        <f aca="true" t="shared" si="6" ref="B30:G30">B29*B23</f>
        <v>-10625.5</v>
      </c>
      <c r="C30" s="57">
        <f t="shared" si="6"/>
        <v>2085.59375</v>
      </c>
      <c r="D30" s="57">
        <f t="shared" si="6"/>
        <v>2252.137276785714</v>
      </c>
      <c r="E30" s="57">
        <f t="shared" si="6"/>
        <v>2184.9439971301013</v>
      </c>
      <c r="F30" s="57">
        <f t="shared" si="6"/>
        <v>1950.8428545804475</v>
      </c>
      <c r="G30" s="57">
        <f t="shared" si="6"/>
        <v>1741.8239773039709</v>
      </c>
      <c r="J30" s="26" t="s">
        <v>206</v>
      </c>
      <c r="L30" s="29"/>
      <c r="M30" s="33"/>
      <c r="N30" s="34"/>
      <c r="O30" s="34"/>
      <c r="P30" s="29"/>
      <c r="Q30" s="35"/>
      <c r="R30" s="33"/>
      <c r="S30" s="29"/>
    </row>
    <row r="31" spans="1:19" ht="13.5" thickBot="1">
      <c r="A31" s="152" t="s">
        <v>137</v>
      </c>
      <c r="B31" s="57">
        <f>B30</f>
        <v>-10625.5</v>
      </c>
      <c r="C31" s="57">
        <f>B31+C30</f>
        <v>-8539.90625</v>
      </c>
      <c r="D31" s="57">
        <f>C31+D30</f>
        <v>-6287.768973214286</v>
      </c>
      <c r="E31" s="57">
        <f>D31+E30</f>
        <v>-4102.8249760841845</v>
      </c>
      <c r="F31" s="57">
        <f>E31+F30</f>
        <v>-2151.9821215037373</v>
      </c>
      <c r="G31" s="57">
        <f>F31+G30</f>
        <v>-410.1581441997664</v>
      </c>
      <c r="I31" s="68">
        <f>G31</f>
        <v>-410.1581441997664</v>
      </c>
      <c r="L31" s="29"/>
      <c r="M31" s="33"/>
      <c r="N31" s="34"/>
      <c r="O31" s="34"/>
      <c r="P31" s="29"/>
      <c r="Q31" s="29"/>
      <c r="R31" s="29"/>
      <c r="S31" s="29"/>
    </row>
    <row r="32" spans="1:19" ht="13.5" thickBot="1">
      <c r="A32" s="173"/>
      <c r="B32" s="30"/>
      <c r="C32" s="61"/>
      <c r="D32" s="61"/>
      <c r="E32" s="61"/>
      <c r="F32" s="61"/>
      <c r="G32" s="61"/>
      <c r="H32" s="24"/>
      <c r="I32" s="62"/>
      <c r="L32" s="29"/>
      <c r="M32" s="29"/>
      <c r="N32" s="29"/>
      <c r="O32" s="29"/>
      <c r="P32" s="29"/>
      <c r="Q32" s="29"/>
      <c r="R32" s="33"/>
      <c r="S32" s="29"/>
    </row>
    <row r="33" spans="1:19" ht="16.5" hidden="1" thickBot="1">
      <c r="A33" s="152"/>
      <c r="B33" s="27"/>
      <c r="C33" s="57"/>
      <c r="D33" s="63"/>
      <c r="E33" s="63"/>
      <c r="F33" s="63"/>
      <c r="G33" s="63"/>
      <c r="H33" s="29"/>
      <c r="I33" s="29"/>
      <c r="L33" s="29"/>
      <c r="M33" s="29"/>
      <c r="N33" s="29"/>
      <c r="O33" s="29"/>
      <c r="P33" s="29"/>
      <c r="Q33" s="29"/>
      <c r="R33" s="29"/>
      <c r="S33" s="29"/>
    </row>
    <row r="34" spans="1:19" ht="12.75">
      <c r="A34" s="152"/>
      <c r="B34" s="27"/>
      <c r="C34" s="57"/>
      <c r="D34" s="57"/>
      <c r="E34" s="57"/>
      <c r="F34" s="57"/>
      <c r="G34" s="57"/>
      <c r="H34" s="29"/>
      <c r="I34" s="64" t="s">
        <v>33</v>
      </c>
      <c r="L34" s="29"/>
      <c r="M34" s="29"/>
      <c r="N34" s="29"/>
      <c r="O34" s="29"/>
      <c r="P34" s="29"/>
      <c r="Q34" s="29"/>
      <c r="R34" s="29"/>
      <c r="S34" s="29"/>
    </row>
    <row r="35" spans="1:19" ht="16.5" thickBot="1">
      <c r="A35" s="175" t="s">
        <v>33</v>
      </c>
      <c r="B35" s="56"/>
      <c r="C35" s="57"/>
      <c r="D35" s="57"/>
      <c r="E35" s="57"/>
      <c r="F35" s="57"/>
      <c r="G35" s="57"/>
      <c r="H35" s="29"/>
      <c r="I35" s="65">
        <f>IRR(B23:H23)</f>
        <v>0.10498176863113051</v>
      </c>
      <c r="L35" s="29"/>
      <c r="M35" s="29"/>
      <c r="N35" s="29"/>
      <c r="O35" s="29"/>
      <c r="P35" s="29"/>
      <c r="Q35" s="29"/>
      <c r="R35" s="29"/>
      <c r="S35" s="29"/>
    </row>
    <row r="36" spans="1:19" ht="12.75">
      <c r="A36" s="175" t="s">
        <v>140</v>
      </c>
      <c r="B36" s="56"/>
      <c r="C36" s="66"/>
      <c r="D36" s="66"/>
      <c r="E36" s="66"/>
      <c r="F36" s="66"/>
      <c r="G36" s="66"/>
      <c r="H36" s="52"/>
      <c r="I36" s="52">
        <f>ROUND(((-B23-SUM(C23:F23))/(G23/12))+60,0)</f>
        <v>57</v>
      </c>
      <c r="L36" s="29"/>
      <c r="M36" s="29"/>
      <c r="N36" s="29"/>
      <c r="O36" s="29"/>
      <c r="P36" s="29"/>
      <c r="Q36" s="29"/>
      <c r="R36" s="29"/>
      <c r="S36" s="29"/>
    </row>
    <row r="37" spans="1:9" ht="12.75">
      <c r="A37" s="175" t="s">
        <v>141</v>
      </c>
      <c r="B37" s="56"/>
      <c r="C37" s="66"/>
      <c r="D37" s="66"/>
      <c r="E37" s="66"/>
      <c r="F37" s="66"/>
      <c r="G37" s="66"/>
      <c r="H37" s="52"/>
      <c r="I37" s="52">
        <f>ROUND(I36/12,1)</f>
        <v>4.8</v>
      </c>
    </row>
    <row r="38" ht="12.75">
      <c r="E38" s="67"/>
    </row>
    <row r="40" ht="12.75">
      <c r="E40" s="67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80"/>
  <headerFooter alignWithMargins="0">
    <oddHeader>&amp;C&amp;F&amp;R]</oddHeader>
    <oddFooter>&amp;L&amp;6&amp;F   &amp;A 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="200" zoomScaleNormal="200" zoomScalePageLayoutView="0" workbookViewId="0" topLeftCell="A9">
      <selection activeCell="F46" sqref="F46"/>
    </sheetView>
  </sheetViews>
  <sheetFormatPr defaultColWidth="11.00390625" defaultRowHeight="12.75"/>
  <cols>
    <col min="1" max="1" width="3.625" style="1" customWidth="1"/>
    <col min="2" max="2" width="61.50390625" style="1" customWidth="1"/>
    <col min="3" max="3" width="11.50390625" style="1" customWidth="1"/>
    <col min="4" max="4" width="11.125" style="1" customWidth="1"/>
    <col min="5" max="16384" width="11.00390625" style="1" customWidth="1"/>
  </cols>
  <sheetData>
    <row r="1" ht="12">
      <c r="D1" s="168"/>
    </row>
    <row r="2" spans="1:4" ht="12.75" customHeight="1">
      <c r="A2" s="181" t="s">
        <v>40</v>
      </c>
      <c r="B2" s="181"/>
      <c r="C2" s="182" t="s">
        <v>55</v>
      </c>
      <c r="D2" s="182"/>
    </row>
    <row r="3" spans="2:3" ht="12">
      <c r="B3" s="183" t="s">
        <v>41</v>
      </c>
      <c r="C3" s="183"/>
    </row>
    <row r="4" spans="2:3" ht="12">
      <c r="B4" s="183" t="s">
        <v>42</v>
      </c>
      <c r="C4" s="183"/>
    </row>
    <row r="5" spans="1:4" s="5" customFormat="1" ht="12">
      <c r="A5" s="2" t="s">
        <v>0</v>
      </c>
      <c r="B5" s="3" t="s">
        <v>149</v>
      </c>
      <c r="C5" s="4" t="s">
        <v>44</v>
      </c>
      <c r="D5" s="19" t="s">
        <v>35</v>
      </c>
    </row>
    <row r="6" spans="1:4" ht="12">
      <c r="A6" s="6" t="s">
        <v>1</v>
      </c>
      <c r="B6" s="3" t="s">
        <v>45</v>
      </c>
      <c r="C6" s="7">
        <v>80</v>
      </c>
      <c r="D6" s="72"/>
    </row>
    <row r="7" spans="1:4" ht="12">
      <c r="A7" s="6" t="s">
        <v>2</v>
      </c>
      <c r="B7" s="3" t="s">
        <v>100</v>
      </c>
      <c r="C7" s="7">
        <v>174</v>
      </c>
      <c r="D7" s="72"/>
    </row>
    <row r="8" spans="1:4" ht="12">
      <c r="A8" s="6" t="s">
        <v>3</v>
      </c>
      <c r="B8" s="3" t="s">
        <v>101</v>
      </c>
      <c r="C8" s="7">
        <v>46</v>
      </c>
      <c r="D8" s="72"/>
    </row>
    <row r="9" spans="1:4" ht="12">
      <c r="A9" s="6" t="s">
        <v>4</v>
      </c>
      <c r="B9" s="3" t="s">
        <v>108</v>
      </c>
      <c r="C9" s="7">
        <f>1.1*1.33*C16</f>
        <v>87.78000000000002</v>
      </c>
      <c r="D9" s="72">
        <f>C9/$C$16</f>
        <v>1.4630000000000003</v>
      </c>
    </row>
    <row r="10" spans="1:4" ht="12">
      <c r="A10" s="6" t="s">
        <v>5</v>
      </c>
      <c r="B10" s="3" t="s">
        <v>52</v>
      </c>
      <c r="C10" s="7">
        <f>C6/C7</f>
        <v>0.45977011494252873</v>
      </c>
      <c r="D10" s="72"/>
    </row>
    <row r="11" spans="1:4" ht="12">
      <c r="A11" s="6" t="s">
        <v>6</v>
      </c>
      <c r="B11" s="3" t="s">
        <v>53</v>
      </c>
      <c r="C11" s="8">
        <f>18*0.72</f>
        <v>12.959999999999999</v>
      </c>
      <c r="D11" s="72"/>
    </row>
    <row r="12" spans="1:4" ht="12">
      <c r="A12" s="6" t="s">
        <v>7</v>
      </c>
      <c r="B12" s="3" t="s">
        <v>54</v>
      </c>
      <c r="C12" s="8">
        <v>1</v>
      </c>
      <c r="D12" s="72"/>
    </row>
    <row r="13" spans="1:4" s="10" customFormat="1" ht="12">
      <c r="A13" s="9" t="s">
        <v>8</v>
      </c>
      <c r="B13" s="3" t="s">
        <v>65</v>
      </c>
      <c r="C13" s="8">
        <f>18*0.72</f>
        <v>12.959999999999999</v>
      </c>
      <c r="D13" s="72"/>
    </row>
    <row r="14" spans="1:4" s="10" customFormat="1" ht="12">
      <c r="A14" s="9" t="s">
        <v>9</v>
      </c>
      <c r="B14" s="11" t="s">
        <v>150</v>
      </c>
      <c r="C14" s="142">
        <v>2000</v>
      </c>
      <c r="D14" s="169">
        <f>C14/C16</f>
        <v>33.333333333333336</v>
      </c>
    </row>
    <row r="15" spans="1:4" s="10" customFormat="1" ht="12">
      <c r="A15" s="9" t="s">
        <v>16</v>
      </c>
      <c r="B15" s="3" t="s">
        <v>57</v>
      </c>
      <c r="C15" s="7">
        <f>22</f>
        <v>22</v>
      </c>
      <c r="D15" s="16"/>
    </row>
    <row r="16" spans="1:4" s="10" customFormat="1" ht="12">
      <c r="A16" s="9" t="s">
        <v>17</v>
      </c>
      <c r="B16" s="3" t="s">
        <v>151</v>
      </c>
      <c r="C16" s="7">
        <v>60</v>
      </c>
      <c r="D16" s="16"/>
    </row>
    <row r="17" spans="1:4" s="10" customFormat="1" ht="12">
      <c r="A17" s="9" t="s">
        <v>23</v>
      </c>
      <c r="B17" s="3" t="s">
        <v>59</v>
      </c>
      <c r="C17" s="7">
        <f>C15*C11</f>
        <v>285.12</v>
      </c>
      <c r="D17" s="16"/>
    </row>
    <row r="18" spans="1:4" s="10" customFormat="1" ht="12">
      <c r="A18" s="9" t="s">
        <v>30</v>
      </c>
      <c r="B18" s="3" t="s">
        <v>152</v>
      </c>
      <c r="C18" s="7">
        <v>1</v>
      </c>
      <c r="D18" s="16"/>
    </row>
    <row r="19" spans="1:4" s="10" customFormat="1" ht="12">
      <c r="A19" s="9" t="s">
        <v>31</v>
      </c>
      <c r="B19" s="3" t="s">
        <v>153</v>
      </c>
      <c r="C19" s="7">
        <v>900</v>
      </c>
      <c r="D19" s="16"/>
    </row>
    <row r="20" spans="1:4" s="10" customFormat="1" ht="12">
      <c r="A20" s="9" t="s">
        <v>32</v>
      </c>
      <c r="B20" s="11" t="s">
        <v>62</v>
      </c>
      <c r="C20" s="7">
        <f>C11*C13</f>
        <v>167.96159999999998</v>
      </c>
      <c r="D20" s="16"/>
    </row>
    <row r="21" spans="1:4" s="10" customFormat="1" ht="12">
      <c r="A21" s="9"/>
      <c r="B21" s="3" t="s">
        <v>64</v>
      </c>
      <c r="C21" s="7">
        <f>C20*C15</f>
        <v>3695.1551999999992</v>
      </c>
      <c r="D21" s="16"/>
    </row>
    <row r="22" spans="1:4" s="10" customFormat="1" ht="12">
      <c r="A22" s="9"/>
      <c r="B22" s="3" t="s">
        <v>63</v>
      </c>
      <c r="C22" s="7"/>
      <c r="D22" s="142">
        <f>C21*11</f>
        <v>40646.70719999999</v>
      </c>
    </row>
    <row r="23" spans="1:4" s="10" customFormat="1" ht="12">
      <c r="A23" s="9"/>
      <c r="B23" s="3"/>
      <c r="C23" s="7"/>
      <c r="D23" s="16"/>
    </row>
    <row r="24" spans="1:4" s="10" customFormat="1" ht="12">
      <c r="A24" s="9"/>
      <c r="B24" s="11" t="s">
        <v>66</v>
      </c>
      <c r="C24" s="15" t="s">
        <v>112</v>
      </c>
      <c r="D24" s="142" t="s">
        <v>68</v>
      </c>
    </row>
    <row r="25" spans="1:4" s="10" customFormat="1" ht="12">
      <c r="A25" s="9" t="s">
        <v>10</v>
      </c>
      <c r="B25" s="3" t="s">
        <v>69</v>
      </c>
      <c r="C25" s="73">
        <f>C8*C10*C9</f>
        <v>1856.4965517241383</v>
      </c>
      <c r="D25" s="74">
        <f>C25*$C$17*11/$C$16</f>
        <v>97042.78775172417</v>
      </c>
    </row>
    <row r="26" spans="1:4" s="10" customFormat="1" ht="12">
      <c r="A26" s="9" t="s">
        <v>11</v>
      </c>
      <c r="B26" s="3" t="s">
        <v>70</v>
      </c>
      <c r="C26" s="73">
        <v>95</v>
      </c>
      <c r="D26" s="74">
        <f aca="true" t="shared" si="0" ref="D26:D36">C26*$C$17*11/$C$16</f>
        <v>4965.84</v>
      </c>
    </row>
    <row r="27" spans="1:4" s="10" customFormat="1" ht="12">
      <c r="A27" s="9" t="s">
        <v>12</v>
      </c>
      <c r="B27" s="3" t="s">
        <v>113</v>
      </c>
      <c r="C27" s="73">
        <v>25</v>
      </c>
      <c r="D27" s="74">
        <f t="shared" si="0"/>
        <v>1306.8</v>
      </c>
    </row>
    <row r="28" spans="1:4" ht="12">
      <c r="A28" s="6" t="s">
        <v>13</v>
      </c>
      <c r="B28" s="3" t="s">
        <v>154</v>
      </c>
      <c r="C28" s="73">
        <v>47.2</v>
      </c>
      <c r="D28" s="74">
        <f t="shared" si="0"/>
        <v>2467.2384</v>
      </c>
    </row>
    <row r="29" spans="1:4" ht="12">
      <c r="A29" s="6" t="s">
        <v>14</v>
      </c>
      <c r="B29" s="3" t="s">
        <v>114</v>
      </c>
      <c r="C29" s="75">
        <f>C19*1000*C16*1.2%/12/C17</f>
        <v>189.39393939393938</v>
      </c>
      <c r="D29" s="74">
        <f t="shared" si="0"/>
        <v>9899.999999999998</v>
      </c>
    </row>
    <row r="30" spans="1:4" ht="12">
      <c r="A30" s="6" t="s">
        <v>15</v>
      </c>
      <c r="B30" s="3" t="s">
        <v>74</v>
      </c>
      <c r="C30" s="73">
        <f>C19*1000*C16*20%/11/C17</f>
        <v>3443.526170798898</v>
      </c>
      <c r="D30" s="74">
        <f>C30*C17*11/C16</f>
        <v>180000</v>
      </c>
    </row>
    <row r="31" spans="1:4" ht="12">
      <c r="A31" s="6" t="s">
        <v>18</v>
      </c>
      <c r="B31" s="3" t="s">
        <v>115</v>
      </c>
      <c r="C31" s="73">
        <v>103.6</v>
      </c>
      <c r="D31" s="74">
        <f t="shared" si="0"/>
        <v>5415.379199999999</v>
      </c>
    </row>
    <row r="32" spans="1:4" ht="12">
      <c r="A32" s="6" t="s">
        <v>19</v>
      </c>
      <c r="B32" s="3" t="s">
        <v>155</v>
      </c>
      <c r="C32" s="75">
        <f>1200*1.216</f>
        <v>1459.2</v>
      </c>
      <c r="D32" s="74">
        <f t="shared" si="0"/>
        <v>76275.3024</v>
      </c>
    </row>
    <row r="33" spans="1:4" ht="12">
      <c r="A33" s="6" t="s">
        <v>20</v>
      </c>
      <c r="B33" s="3" t="s">
        <v>156</v>
      </c>
      <c r="C33" s="75">
        <f>C32*0.338</f>
        <v>493.2096</v>
      </c>
      <c r="D33" s="74">
        <f t="shared" si="0"/>
        <v>25781.0522112</v>
      </c>
    </row>
    <row r="34" spans="1:4" ht="12">
      <c r="A34" s="6" t="s">
        <v>21</v>
      </c>
      <c r="B34" s="11" t="s">
        <v>78</v>
      </c>
      <c r="C34" s="76">
        <f>SUM(C25:C33)</f>
        <v>7712.626261916977</v>
      </c>
      <c r="D34" s="74">
        <f t="shared" si="0"/>
        <v>403154.39996292425</v>
      </c>
    </row>
    <row r="35" spans="1:4" ht="12">
      <c r="A35" s="6" t="s">
        <v>22</v>
      </c>
      <c r="B35" s="3" t="s">
        <v>79</v>
      </c>
      <c r="C35" s="75">
        <f>C34*20%</f>
        <v>1542.5252523833954</v>
      </c>
      <c r="D35" s="74">
        <f t="shared" si="0"/>
        <v>80630.87999258484</v>
      </c>
    </row>
    <row r="36" spans="1:4" ht="12">
      <c r="A36" s="6" t="s">
        <v>29</v>
      </c>
      <c r="B36" s="11" t="s">
        <v>80</v>
      </c>
      <c r="C36" s="77">
        <f>C34+C35</f>
        <v>9255.151514300373</v>
      </c>
      <c r="D36" s="74">
        <f t="shared" si="0"/>
        <v>483785.27995550906</v>
      </c>
    </row>
    <row r="37" spans="1:4" ht="12">
      <c r="A37" s="6"/>
      <c r="B37" s="11"/>
      <c r="C37" s="12"/>
      <c r="D37" s="2"/>
    </row>
    <row r="38" spans="1:4" ht="12">
      <c r="A38" s="6"/>
      <c r="B38" s="11" t="s">
        <v>81</v>
      </c>
      <c r="C38" s="15" t="s">
        <v>112</v>
      </c>
      <c r="D38" s="142" t="s">
        <v>68</v>
      </c>
    </row>
    <row r="39" spans="1:4" ht="12">
      <c r="A39" s="6" t="s">
        <v>24</v>
      </c>
      <c r="B39" s="3" t="s">
        <v>88</v>
      </c>
      <c r="C39" s="75">
        <f>C14*C13</f>
        <v>25919.999999999996</v>
      </c>
      <c r="D39" s="78">
        <f>C39*C17/C16*11</f>
        <v>1354890.24</v>
      </c>
    </row>
    <row r="40" spans="1:4" ht="12">
      <c r="A40" s="6" t="s">
        <v>25</v>
      </c>
      <c r="B40" s="3" t="s">
        <v>82</v>
      </c>
      <c r="C40" s="75">
        <f>C39-C36</f>
        <v>16664.848485699622</v>
      </c>
      <c r="D40" s="75">
        <f>D39-D36</f>
        <v>871104.9600444909</v>
      </c>
    </row>
    <row r="41" spans="1:4" ht="12">
      <c r="A41" s="6"/>
      <c r="B41" s="3" t="s">
        <v>85</v>
      </c>
      <c r="C41" s="77">
        <f>C40/C36*100</f>
        <v>180.06024493440583</v>
      </c>
      <c r="D41" s="78"/>
    </row>
    <row r="42" spans="1:4" ht="12">
      <c r="A42" s="6" t="s">
        <v>26</v>
      </c>
      <c r="B42" s="3" t="s">
        <v>86</v>
      </c>
      <c r="C42" s="75">
        <f>C40*15%</f>
        <v>2499.7272728549433</v>
      </c>
      <c r="D42" s="75">
        <f>D40*15%</f>
        <v>130665.74400667363</v>
      </c>
    </row>
    <row r="43" spans="1:4" ht="12">
      <c r="A43" s="6" t="s">
        <v>27</v>
      </c>
      <c r="B43" s="3" t="s">
        <v>87</v>
      </c>
      <c r="C43" s="75">
        <f>240*1.4</f>
        <v>336</v>
      </c>
      <c r="D43" s="75">
        <f>240*1.4*C17*11/C16</f>
        <v>17563.392</v>
      </c>
    </row>
    <row r="44" spans="1:4" ht="12">
      <c r="A44" s="6" t="s">
        <v>28</v>
      </c>
      <c r="B44" s="3" t="s">
        <v>89</v>
      </c>
      <c r="C44" s="75">
        <f>C40-C42-C43</f>
        <v>13829.121212844679</v>
      </c>
      <c r="D44" s="77">
        <f>D40-D42-D43</f>
        <v>722875.8240378173</v>
      </c>
    </row>
    <row r="45" spans="1:4" ht="12">
      <c r="A45" s="6"/>
      <c r="B45" s="11" t="s">
        <v>90</v>
      </c>
      <c r="C45" s="77">
        <f>C44/C36*100</f>
        <v>149.4207976117619</v>
      </c>
      <c r="D45" s="78"/>
    </row>
    <row r="46" spans="1:4" ht="12">
      <c r="A46" s="6"/>
      <c r="B46" s="11"/>
      <c r="C46" s="77"/>
      <c r="D46" s="78"/>
    </row>
    <row r="47" spans="1:4" ht="12">
      <c r="A47" s="6"/>
      <c r="B47" s="11" t="s">
        <v>91</v>
      </c>
      <c r="C47" s="15" t="s">
        <v>116</v>
      </c>
      <c r="D47" s="144" t="s">
        <v>35</v>
      </c>
    </row>
    <row r="48" spans="1:4" ht="12">
      <c r="A48" s="6"/>
      <c r="B48" s="3" t="s">
        <v>92</v>
      </c>
      <c r="C48" s="76">
        <f>C40*C17</f>
        <v>4751481.600242676</v>
      </c>
      <c r="D48" s="170">
        <f>C48/$C$16</f>
        <v>79191.3600040446</v>
      </c>
    </row>
    <row r="49" spans="1:4" ht="12">
      <c r="A49" s="6"/>
      <c r="B49" s="3" t="s">
        <v>93</v>
      </c>
      <c r="C49" s="76">
        <f>C44*C17</f>
        <v>3942959.040206275</v>
      </c>
      <c r="D49" s="170">
        <f>C49/$C$16</f>
        <v>65715.98400343792</v>
      </c>
    </row>
    <row r="50" spans="1:4" ht="12">
      <c r="A50" s="6"/>
      <c r="B50" s="3" t="s">
        <v>94</v>
      </c>
      <c r="C50" s="81">
        <f>C48*11</f>
        <v>52266297.60266944</v>
      </c>
      <c r="D50" s="170">
        <f>C50/$C$16</f>
        <v>871104.9600444906</v>
      </c>
    </row>
    <row r="51" spans="2:4" ht="12">
      <c r="B51" s="3" t="s">
        <v>95</v>
      </c>
      <c r="C51" s="81">
        <f>C49*11</f>
        <v>43372549.44226903</v>
      </c>
      <c r="D51" s="170">
        <f>C51/$C$16</f>
        <v>722875.8240378171</v>
      </c>
    </row>
    <row r="53" spans="2:4" ht="15.75">
      <c r="B53" s="21"/>
      <c r="C53" s="171"/>
      <c r="D53" s="171"/>
    </row>
  </sheetData>
  <sheetProtection/>
  <mergeCells count="4">
    <mergeCell ref="A2:B2"/>
    <mergeCell ref="C2:D2"/>
    <mergeCell ref="B3:C3"/>
    <mergeCell ref="B4:C4"/>
  </mergeCells>
  <printOptions/>
  <pageMargins left="0.75" right="0.27" top="0.24" bottom="0.23" header="0.17" footer="0.1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200" zoomScaleNormal="200" zoomScalePageLayoutView="0" workbookViewId="0" topLeftCell="A1">
      <selection activeCell="A3" sqref="A3:A37"/>
    </sheetView>
  </sheetViews>
  <sheetFormatPr defaultColWidth="9.125" defaultRowHeight="12.75"/>
  <cols>
    <col min="1" max="1" width="43.375" style="26" customWidth="1"/>
    <col min="2" max="2" width="10.875" style="26" customWidth="1"/>
    <col min="3" max="7" width="11.125" style="26" customWidth="1"/>
    <col min="8" max="8" width="1.37890625" style="26" customWidth="1"/>
    <col min="9" max="9" width="14.50390625" style="26" customWidth="1"/>
    <col min="10" max="10" width="13.625" style="26" customWidth="1"/>
    <col min="11" max="11" width="11.625" style="26" customWidth="1"/>
    <col min="12" max="12" width="16.125" style="26" customWidth="1"/>
    <col min="13" max="13" width="14.125" style="26" customWidth="1"/>
    <col min="14" max="14" width="12.625" style="26" customWidth="1"/>
    <col min="15" max="15" width="13.125" style="26" customWidth="1"/>
    <col min="16" max="16" width="11.00390625" style="26" customWidth="1"/>
    <col min="17" max="17" width="12.625" style="26" customWidth="1"/>
    <col min="18" max="18" width="15.50390625" style="26" customWidth="1"/>
    <col min="19" max="16384" width="9.125" style="26" customWidth="1"/>
  </cols>
  <sheetData>
    <row r="1" spans="1:9" ht="12.75">
      <c r="A1" s="23"/>
      <c r="B1" s="23"/>
      <c r="C1" s="23"/>
      <c r="D1" s="23"/>
      <c r="E1" s="23"/>
      <c r="F1" s="23"/>
      <c r="G1" s="23"/>
      <c r="H1" s="24"/>
      <c r="I1" s="25" t="s">
        <v>147</v>
      </c>
    </row>
    <row r="2" spans="1:9" ht="12.75">
      <c r="A2" s="145"/>
      <c r="B2" s="86"/>
      <c r="C2" s="87" t="s">
        <v>142</v>
      </c>
      <c r="D2" s="87" t="s">
        <v>143</v>
      </c>
      <c r="E2" s="87" t="s">
        <v>144</v>
      </c>
      <c r="F2" s="87" t="s">
        <v>145</v>
      </c>
      <c r="G2" s="87" t="s">
        <v>146</v>
      </c>
      <c r="H2" s="87"/>
      <c r="I2" s="88" t="s">
        <v>148</v>
      </c>
    </row>
    <row r="3" spans="1:19" ht="12.75">
      <c r="A3" s="145" t="s">
        <v>125</v>
      </c>
      <c r="B3" s="86"/>
      <c r="C3" s="89">
        <f>'[1]Таллин-ЭП-15'!D14</f>
        <v>33.333333333333336</v>
      </c>
      <c r="D3" s="89">
        <f aca="true" t="shared" si="0" ref="D3:G4">C3</f>
        <v>33.333333333333336</v>
      </c>
      <c r="E3" s="89">
        <f t="shared" si="0"/>
        <v>33.333333333333336</v>
      </c>
      <c r="F3" s="89">
        <f t="shared" si="0"/>
        <v>33.333333333333336</v>
      </c>
      <c r="G3" s="89">
        <f t="shared" si="0"/>
        <v>33.333333333333336</v>
      </c>
      <c r="H3" s="89"/>
      <c r="I3" s="90"/>
      <c r="L3" s="29"/>
      <c r="M3" s="29"/>
      <c r="N3" s="29"/>
      <c r="O3" s="29"/>
      <c r="P3" s="29"/>
      <c r="Q3" s="29"/>
      <c r="R3" s="29"/>
      <c r="S3" s="29"/>
    </row>
    <row r="4" spans="1:19" ht="12.75">
      <c r="A4" s="172" t="s">
        <v>62</v>
      </c>
      <c r="B4" s="86"/>
      <c r="C4" s="89">
        <f>'[1]Таллин-ЭП-15'!C20</f>
        <v>167.96159999999998</v>
      </c>
      <c r="D4" s="89">
        <f t="shared" si="0"/>
        <v>167.96159999999998</v>
      </c>
      <c r="E4" s="89">
        <f t="shared" si="0"/>
        <v>167.96159999999998</v>
      </c>
      <c r="F4" s="89">
        <f t="shared" si="0"/>
        <v>167.96159999999998</v>
      </c>
      <c r="G4" s="89">
        <f t="shared" si="0"/>
        <v>167.96159999999998</v>
      </c>
      <c r="H4" s="90"/>
      <c r="I4" s="91"/>
      <c r="L4" s="29"/>
      <c r="M4" s="29"/>
      <c r="N4" s="29"/>
      <c r="O4" s="29"/>
      <c r="P4" s="29"/>
      <c r="Q4" s="29"/>
      <c r="R4" s="29"/>
      <c r="S4" s="29"/>
    </row>
    <row r="5" spans="1:19" ht="13.5" thickBot="1">
      <c r="A5" s="146" t="s">
        <v>157</v>
      </c>
      <c r="B5" s="92"/>
      <c r="C5" s="93">
        <v>0.6</v>
      </c>
      <c r="D5" s="93">
        <v>0.7</v>
      </c>
      <c r="E5" s="93">
        <v>0.8</v>
      </c>
      <c r="F5" s="93">
        <v>0.85</v>
      </c>
      <c r="G5" s="93">
        <v>0.9</v>
      </c>
      <c r="H5" s="94"/>
      <c r="I5" s="95"/>
      <c r="L5" s="29"/>
      <c r="M5" s="33"/>
      <c r="N5" s="34"/>
      <c r="O5" s="34"/>
      <c r="P5" s="29"/>
      <c r="Q5" s="35"/>
      <c r="R5" s="33"/>
      <c r="S5" s="29"/>
    </row>
    <row r="6" spans="1:19" ht="13.5" thickBot="1">
      <c r="A6" s="147" t="s">
        <v>158</v>
      </c>
      <c r="B6" s="82"/>
      <c r="C6" s="148">
        <f>'[1]Таллин-ЭП-15'!$D$39*C5/1000</f>
        <v>812.934144</v>
      </c>
      <c r="D6" s="148">
        <f>'[1]Таллин-ЭП-15'!$D$39*D5/1000</f>
        <v>948.4231679999999</v>
      </c>
      <c r="E6" s="148">
        <f>'[1]Таллин-ЭП-15'!$D$39*E5/1000</f>
        <v>1083.912192</v>
      </c>
      <c r="F6" s="148">
        <f>'[1]Таллин-ЭП-15'!$D$39*F5/1000</f>
        <v>1151.656704</v>
      </c>
      <c r="G6" s="148">
        <f>'[1]Таллин-ЭП-15'!$D$39*G5/1000</f>
        <v>1219.401216</v>
      </c>
      <c r="H6" s="149"/>
      <c r="I6" s="150">
        <f aca="true" t="shared" si="1" ref="I6:I11">SUM(B6:H6)</f>
        <v>5216.327424</v>
      </c>
      <c r="L6" s="29"/>
      <c r="M6" s="33"/>
      <c r="N6" s="34"/>
      <c r="O6" s="34"/>
      <c r="P6" s="29"/>
      <c r="Q6" s="35"/>
      <c r="R6" s="33"/>
      <c r="S6" s="29"/>
    </row>
    <row r="7" spans="1:19" ht="12.75">
      <c r="A7" s="152"/>
      <c r="B7" s="27"/>
      <c r="C7" s="28"/>
      <c r="D7" s="28"/>
      <c r="E7" s="28"/>
      <c r="F7" s="28"/>
      <c r="G7" s="28"/>
      <c r="I7" s="151">
        <f t="shared" si="1"/>
        <v>0</v>
      </c>
      <c r="L7" s="29"/>
      <c r="M7" s="33"/>
      <c r="N7" s="34"/>
      <c r="O7" s="34"/>
      <c r="P7" s="29"/>
      <c r="Q7" s="35"/>
      <c r="R7" s="33"/>
      <c r="S7" s="29"/>
    </row>
    <row r="8" spans="1:19" ht="12.75">
      <c r="A8" s="152" t="s">
        <v>128</v>
      </c>
      <c r="B8" s="37"/>
      <c r="C8" s="28">
        <f>-'[1]Таллин-ЭП-15'!D36/1000</f>
        <v>-483.78527995550905</v>
      </c>
      <c r="D8" s="28">
        <f>C8</f>
        <v>-483.78527995550905</v>
      </c>
      <c r="E8" s="28">
        <f>D8</f>
        <v>-483.78527995550905</v>
      </c>
      <c r="F8" s="28">
        <f>E8</f>
        <v>-483.78527995550905</v>
      </c>
      <c r="G8" s="28">
        <f>F8</f>
        <v>-483.78527995550905</v>
      </c>
      <c r="I8" s="151">
        <f t="shared" si="1"/>
        <v>-2418.926399777545</v>
      </c>
      <c r="K8" s="38"/>
      <c r="L8" s="29"/>
      <c r="M8" s="33"/>
      <c r="N8" s="34"/>
      <c r="O8" s="34"/>
      <c r="P8" s="29"/>
      <c r="Q8" s="35"/>
      <c r="R8" s="33"/>
      <c r="S8" s="29"/>
    </row>
    <row r="9" spans="1:19" ht="12.75">
      <c r="A9" s="152" t="s">
        <v>129</v>
      </c>
      <c r="B9" s="27"/>
      <c r="C9" s="28">
        <f>(-C6-C8/2)*0.2</f>
        <v>-114.20830080444908</v>
      </c>
      <c r="D9" s="28">
        <f>(-D6-D8/2)*0.2</f>
        <v>-141.30610560444907</v>
      </c>
      <c r="E9" s="28">
        <f>(-E6-E8/2)*0.2</f>
        <v>-168.4039104044491</v>
      </c>
      <c r="F9" s="28">
        <f>(-F6-F8/2)*0.2</f>
        <v>-181.9528128044491</v>
      </c>
      <c r="G9" s="28">
        <f>(-G6-G8/2)*0.2</f>
        <v>-195.5017152044491</v>
      </c>
      <c r="I9" s="151">
        <f t="shared" si="1"/>
        <v>-801.3728448222455</v>
      </c>
      <c r="L9" s="29"/>
      <c r="M9" s="33"/>
      <c r="N9" s="34"/>
      <c r="O9" s="34"/>
      <c r="P9" s="29"/>
      <c r="Q9" s="35"/>
      <c r="R9" s="33"/>
      <c r="S9" s="29"/>
    </row>
    <row r="10" spans="1:19" ht="12.75">
      <c r="A10" s="152" t="s">
        <v>130</v>
      </c>
      <c r="B10" s="27"/>
      <c r="C10" s="28">
        <f>-C6*0.1</f>
        <v>-81.2934144</v>
      </c>
      <c r="D10" s="28">
        <f>-D6*0.1</f>
        <v>-94.84231679999999</v>
      </c>
      <c r="E10" s="28">
        <f>-E6*0.1</f>
        <v>-108.39121920000001</v>
      </c>
      <c r="F10" s="28">
        <f>-F6*0.1</f>
        <v>-115.16567040000001</v>
      </c>
      <c r="G10" s="28">
        <f>-G6*0.1</f>
        <v>-121.9401216</v>
      </c>
      <c r="I10" s="151">
        <f t="shared" si="1"/>
        <v>-521.6327424000001</v>
      </c>
      <c r="L10" s="29"/>
      <c r="M10" s="33"/>
      <c r="N10" s="34"/>
      <c r="O10" s="34"/>
      <c r="P10" s="29"/>
      <c r="Q10" s="35"/>
      <c r="R10" s="33"/>
      <c r="S10" s="29"/>
    </row>
    <row r="11" spans="1:19" ht="12.75">
      <c r="A11" s="173"/>
      <c r="B11" s="30"/>
      <c r="C11" s="31"/>
      <c r="D11" s="31"/>
      <c r="E11" s="31"/>
      <c r="F11" s="31"/>
      <c r="G11" s="31"/>
      <c r="H11" s="24"/>
      <c r="I11" s="153">
        <f t="shared" si="1"/>
        <v>0</v>
      </c>
      <c r="J11" s="29"/>
      <c r="K11" s="29"/>
      <c r="L11" s="29"/>
      <c r="M11" s="33"/>
      <c r="N11" s="34"/>
      <c r="O11" s="34"/>
      <c r="P11" s="29"/>
      <c r="Q11" s="35"/>
      <c r="R11" s="33"/>
      <c r="S11" s="29"/>
    </row>
    <row r="12" spans="1:19" ht="12.75">
      <c r="A12" s="173" t="s">
        <v>131</v>
      </c>
      <c r="B12" s="31">
        <f aca="true" t="shared" si="2" ref="B12:G12">B6+B8+B9+B11+B10</f>
        <v>0</v>
      </c>
      <c r="C12" s="31">
        <f t="shared" si="2"/>
        <v>133.64714884004178</v>
      </c>
      <c r="D12" s="31">
        <f t="shared" si="2"/>
        <v>228.48946564004183</v>
      </c>
      <c r="E12" s="31">
        <f t="shared" si="2"/>
        <v>323.3317824400418</v>
      </c>
      <c r="F12" s="31">
        <f t="shared" si="2"/>
        <v>370.75294084004184</v>
      </c>
      <c r="G12" s="31">
        <f t="shared" si="2"/>
        <v>418.17409924004176</v>
      </c>
      <c r="H12" s="24"/>
      <c r="I12" s="153">
        <f>SUM(I6:I11)</f>
        <v>1474.3954370002093</v>
      </c>
      <c r="J12" s="154"/>
      <c r="K12" s="155"/>
      <c r="L12" s="29"/>
      <c r="M12" s="33"/>
      <c r="N12" s="34"/>
      <c r="O12" s="34"/>
      <c r="P12" s="29"/>
      <c r="Q12" s="35"/>
      <c r="R12" s="33"/>
      <c r="S12" s="29"/>
    </row>
    <row r="13" spans="1:19" ht="12.75">
      <c r="A13" s="152"/>
      <c r="B13" s="27"/>
      <c r="C13" s="28"/>
      <c r="D13" s="28"/>
      <c r="I13" s="42"/>
      <c r="J13" s="28"/>
      <c r="K13" s="28"/>
      <c r="L13" s="29"/>
      <c r="M13" s="33"/>
      <c r="N13" s="34"/>
      <c r="O13" s="34"/>
      <c r="P13" s="29"/>
      <c r="Q13" s="35"/>
      <c r="R13" s="33"/>
      <c r="S13" s="29"/>
    </row>
    <row r="14" spans="1:19" s="45" customFormat="1" ht="12.75">
      <c r="A14" s="152" t="s">
        <v>74</v>
      </c>
      <c r="B14" s="43"/>
      <c r="C14" s="156">
        <v>180</v>
      </c>
      <c r="D14" s="156">
        <v>180</v>
      </c>
      <c r="E14" s="156">
        <v>180</v>
      </c>
      <c r="F14" s="156">
        <v>180</v>
      </c>
      <c r="G14" s="156">
        <v>180</v>
      </c>
      <c r="I14" s="46">
        <f>SUM(B14:G14)</f>
        <v>900</v>
      </c>
      <c r="J14" s="47"/>
      <c r="K14" s="47"/>
      <c r="L14" s="29"/>
      <c r="M14" s="33"/>
      <c r="N14" s="34"/>
      <c r="O14" s="48"/>
      <c r="P14" s="29"/>
      <c r="Q14" s="35"/>
      <c r="R14" s="33"/>
      <c r="S14" s="47"/>
    </row>
    <row r="15" spans="1:19" s="45" customFormat="1" ht="12.75">
      <c r="A15" s="152"/>
      <c r="B15" s="43"/>
      <c r="C15" s="49"/>
      <c r="D15" s="49"/>
      <c r="E15" s="49"/>
      <c r="F15" s="49"/>
      <c r="G15" s="49"/>
      <c r="I15" s="46"/>
      <c r="J15" s="47"/>
      <c r="K15" s="47"/>
      <c r="L15" s="29"/>
      <c r="M15" s="33"/>
      <c r="N15" s="34"/>
      <c r="O15" s="48"/>
      <c r="P15" s="29"/>
      <c r="Q15" s="35"/>
      <c r="R15" s="33"/>
      <c r="S15" s="47"/>
    </row>
    <row r="16" spans="1:19" ht="12.75">
      <c r="A16" s="145" t="s">
        <v>132</v>
      </c>
      <c r="B16" s="50">
        <f>-'[1]Таллин-ЭП-15'!C19</f>
        <v>-900</v>
      </c>
      <c r="C16" s="28"/>
      <c r="D16" s="28"/>
      <c r="E16" s="28"/>
      <c r="F16" s="28"/>
      <c r="G16" s="28"/>
      <c r="I16" s="151">
        <f aca="true" t="shared" si="3" ref="I16:I21">SUM(B16:G16)</f>
        <v>-900</v>
      </c>
      <c r="J16" s="29"/>
      <c r="K16" s="29"/>
      <c r="L16" s="29"/>
      <c r="M16" s="33"/>
      <c r="N16" s="34"/>
      <c r="O16" s="34"/>
      <c r="P16" s="29"/>
      <c r="Q16" s="35"/>
      <c r="R16" s="33"/>
      <c r="S16" s="29"/>
    </row>
    <row r="17" spans="1:19" ht="12.75">
      <c r="A17" s="145" t="s">
        <v>133</v>
      </c>
      <c r="B17" s="27"/>
      <c r="C17" s="28"/>
      <c r="D17" s="28"/>
      <c r="E17" s="28"/>
      <c r="F17" s="28"/>
      <c r="G17" s="28"/>
      <c r="I17" s="32">
        <f t="shared" si="3"/>
        <v>0</v>
      </c>
      <c r="J17" s="157"/>
      <c r="K17" s="154"/>
      <c r="L17" s="29"/>
      <c r="M17" s="33"/>
      <c r="N17" s="34"/>
      <c r="O17" s="34"/>
      <c r="P17" s="29"/>
      <c r="Q17" s="35"/>
      <c r="R17" s="33"/>
      <c r="S17" s="29"/>
    </row>
    <row r="18" spans="1:19" ht="12.75">
      <c r="A18" s="152"/>
      <c r="B18" s="27"/>
      <c r="C18" s="28"/>
      <c r="D18" s="28"/>
      <c r="E18" s="28"/>
      <c r="F18" s="28"/>
      <c r="G18" s="28"/>
      <c r="I18" s="32">
        <f t="shared" si="3"/>
        <v>0</v>
      </c>
      <c r="J18" s="29"/>
      <c r="K18" s="29"/>
      <c r="L18" s="29"/>
      <c r="M18" s="33"/>
      <c r="N18" s="34"/>
      <c r="O18" s="34"/>
      <c r="P18" s="29"/>
      <c r="Q18" s="35"/>
      <c r="R18" s="33"/>
      <c r="S18" s="29"/>
    </row>
    <row r="19" spans="1:19" ht="12.75">
      <c r="A19" s="152"/>
      <c r="B19" s="27"/>
      <c r="C19" s="28"/>
      <c r="D19" s="28"/>
      <c r="E19" s="28"/>
      <c r="F19" s="28"/>
      <c r="G19" s="28"/>
      <c r="I19" s="32">
        <f t="shared" si="3"/>
        <v>0</v>
      </c>
      <c r="J19" s="29"/>
      <c r="K19" s="158"/>
      <c r="L19" s="29"/>
      <c r="M19" s="33"/>
      <c r="N19" s="34"/>
      <c r="O19" s="34"/>
      <c r="P19" s="29"/>
      <c r="Q19" s="35"/>
      <c r="R19" s="33"/>
      <c r="S19" s="29"/>
    </row>
    <row r="20" spans="1:19" ht="12.75">
      <c r="A20" s="152"/>
      <c r="B20" s="27"/>
      <c r="C20" s="28"/>
      <c r="D20" s="28"/>
      <c r="E20" s="28"/>
      <c r="F20" s="28"/>
      <c r="G20" s="28"/>
      <c r="I20" s="32">
        <f t="shared" si="3"/>
        <v>0</v>
      </c>
      <c r="J20" s="29"/>
      <c r="K20" s="29"/>
      <c r="L20" s="29"/>
      <c r="M20" s="33"/>
      <c r="N20" s="34"/>
      <c r="O20" s="34"/>
      <c r="P20" s="29"/>
      <c r="Q20" s="35"/>
      <c r="R20" s="33"/>
      <c r="S20" s="29"/>
    </row>
    <row r="21" spans="1:19" ht="12.75">
      <c r="A21" s="152"/>
      <c r="B21" s="27"/>
      <c r="C21" s="28"/>
      <c r="D21" s="28"/>
      <c r="E21" s="28"/>
      <c r="F21" s="28"/>
      <c r="G21" s="28"/>
      <c r="I21" s="32">
        <f t="shared" si="3"/>
        <v>0</v>
      </c>
      <c r="J21" s="53"/>
      <c r="K21" s="29"/>
      <c r="L21" s="29"/>
      <c r="M21" s="33"/>
      <c r="N21" s="34"/>
      <c r="O21" s="34"/>
      <c r="P21" s="29"/>
      <c r="Q21" s="35"/>
      <c r="R21" s="33"/>
      <c r="S21" s="29"/>
    </row>
    <row r="22" spans="1:19" ht="12.75">
      <c r="A22" s="152"/>
      <c r="B22" s="27"/>
      <c r="C22" s="28"/>
      <c r="D22" s="28"/>
      <c r="E22" s="28"/>
      <c r="F22" s="28"/>
      <c r="G22" s="28"/>
      <c r="I22" s="32"/>
      <c r="J22" s="53"/>
      <c r="K22" s="29"/>
      <c r="L22" s="29"/>
      <c r="M22" s="33"/>
      <c r="N22" s="34"/>
      <c r="O22" s="34"/>
      <c r="P22" s="29"/>
      <c r="Q22" s="35"/>
      <c r="R22" s="33"/>
      <c r="S22" s="29"/>
    </row>
    <row r="23" spans="1:19" ht="19.5" customHeight="1" thickBot="1">
      <c r="A23" s="159" t="s">
        <v>134</v>
      </c>
      <c r="B23" s="160">
        <f aca="true" t="shared" si="4" ref="B23:G23">SUM(B12:B22)</f>
        <v>-900</v>
      </c>
      <c r="C23" s="160">
        <f t="shared" si="4"/>
        <v>313.6471488400418</v>
      </c>
      <c r="D23" s="160">
        <f t="shared" si="4"/>
        <v>408.48946564004183</v>
      </c>
      <c r="E23" s="160">
        <f t="shared" si="4"/>
        <v>503.3317824400418</v>
      </c>
      <c r="F23" s="160">
        <f t="shared" si="4"/>
        <v>550.7529408400419</v>
      </c>
      <c r="G23" s="160">
        <f t="shared" si="4"/>
        <v>598.1740992400418</v>
      </c>
      <c r="H23" s="161"/>
      <c r="I23" s="162">
        <f>SUM(B23:H23)</f>
        <v>1474.3954370002093</v>
      </c>
      <c r="J23" s="163"/>
      <c r="K23" s="164"/>
      <c r="L23" s="29"/>
      <c r="M23" s="33"/>
      <c r="N23" s="34"/>
      <c r="O23" s="34"/>
      <c r="P23" s="29"/>
      <c r="Q23" s="35"/>
      <c r="R23" s="33"/>
      <c r="S23" s="29"/>
    </row>
    <row r="24" spans="1:19" ht="13.5" thickTop="1">
      <c r="A24" s="165"/>
      <c r="B24" s="165"/>
      <c r="C24" s="57"/>
      <c r="D24" s="57"/>
      <c r="E24" s="57"/>
      <c r="F24" s="57"/>
      <c r="G24" s="57"/>
      <c r="I24" s="32"/>
      <c r="L24" s="29"/>
      <c r="M24" s="33"/>
      <c r="N24" s="34"/>
      <c r="O24" s="34"/>
      <c r="P24" s="29"/>
      <c r="Q24" s="35"/>
      <c r="R24" s="33"/>
      <c r="S24" s="29"/>
    </row>
    <row r="25" spans="1:19" ht="12.75">
      <c r="A25" s="174" t="s">
        <v>135</v>
      </c>
      <c r="B25" s="58">
        <v>1</v>
      </c>
      <c r="C25" s="59">
        <f>B25/(1+$I$25)</f>
        <v>0.9259259259259258</v>
      </c>
      <c r="D25" s="59">
        <f>C25/(1+$I$25)</f>
        <v>0.8573388203017831</v>
      </c>
      <c r="E25" s="59">
        <f>D25/(1+$I$25)</f>
        <v>0.7938322410201695</v>
      </c>
      <c r="F25" s="59">
        <f>E25/(1+$I$25)</f>
        <v>0.7350298527964532</v>
      </c>
      <c r="G25" s="59">
        <f>F25/(1+$I$25)</f>
        <v>0.6805831970337529</v>
      </c>
      <c r="I25" s="60">
        <v>0.08</v>
      </c>
      <c r="L25" s="29"/>
      <c r="M25" s="33"/>
      <c r="N25" s="34"/>
      <c r="O25" s="34"/>
      <c r="P25" s="29"/>
      <c r="Q25" s="35"/>
      <c r="R25" s="33"/>
      <c r="S25" s="29"/>
    </row>
    <row r="26" spans="1:19" ht="13.5" thickBot="1">
      <c r="A26" s="152" t="s">
        <v>161</v>
      </c>
      <c r="B26" s="57">
        <f aca="true" t="shared" si="5" ref="B26:G26">B25*B23</f>
        <v>-900</v>
      </c>
      <c r="C26" s="57">
        <f t="shared" si="5"/>
        <v>290.41402670374237</v>
      </c>
      <c r="D26" s="57">
        <f t="shared" si="5"/>
        <v>350.2138765775392</v>
      </c>
      <c r="E26" s="57">
        <f t="shared" si="5"/>
        <v>399.5609968310548</v>
      </c>
      <c r="F26" s="57">
        <f t="shared" si="5"/>
        <v>404.8198530328697</v>
      </c>
      <c r="G26" s="57">
        <f t="shared" si="5"/>
        <v>407.107240843573</v>
      </c>
      <c r="J26" s="32"/>
      <c r="L26" s="29"/>
      <c r="M26" s="33"/>
      <c r="N26" s="34"/>
      <c r="O26" s="34"/>
      <c r="P26" s="29"/>
      <c r="Q26" s="35"/>
      <c r="R26" s="33"/>
      <c r="S26" s="29"/>
    </row>
    <row r="27" spans="1:19" ht="13.5" thickBot="1">
      <c r="A27" s="152" t="s">
        <v>137</v>
      </c>
      <c r="B27" s="57">
        <f>B26</f>
        <v>-900</v>
      </c>
      <c r="C27" s="57">
        <f>B27+C26</f>
        <v>-609.5859732962576</v>
      </c>
      <c r="D27" s="57">
        <f>C27+D26</f>
        <v>-259.3720967187184</v>
      </c>
      <c r="E27" s="57">
        <f>D27+E26</f>
        <v>140.1889001123364</v>
      </c>
      <c r="F27" s="57">
        <f>E27+F26</f>
        <v>545.0087531452061</v>
      </c>
      <c r="G27" s="57">
        <f>F27+G26</f>
        <v>952.1159939887791</v>
      </c>
      <c r="I27" s="166">
        <f>G27</f>
        <v>952.1159939887791</v>
      </c>
      <c r="L27" s="29"/>
      <c r="M27" s="33"/>
      <c r="N27" s="34"/>
      <c r="O27" s="34"/>
      <c r="P27" s="29"/>
      <c r="Q27" s="35"/>
      <c r="R27" s="33"/>
      <c r="S27" s="29"/>
    </row>
    <row r="28" spans="1:19" ht="12.75">
      <c r="A28" s="152"/>
      <c r="B28" s="27"/>
      <c r="C28" s="57"/>
      <c r="D28" s="57"/>
      <c r="E28" s="57"/>
      <c r="F28" s="57"/>
      <c r="G28" s="57"/>
      <c r="L28" s="29"/>
      <c r="M28" s="33"/>
      <c r="N28" s="34"/>
      <c r="O28" s="34"/>
      <c r="P28" s="29"/>
      <c r="Q28" s="35"/>
      <c r="R28" s="33"/>
      <c r="S28" s="29"/>
    </row>
    <row r="29" spans="1:19" ht="12.75">
      <c r="A29" s="174" t="s">
        <v>159</v>
      </c>
      <c r="B29" s="58">
        <v>1</v>
      </c>
      <c r="C29" s="59">
        <f>B29/(1+$I$29)</f>
        <v>0.8928571428571428</v>
      </c>
      <c r="D29" s="59">
        <f>C29/(1+$I$29)</f>
        <v>0.7971938775510202</v>
      </c>
      <c r="E29" s="59">
        <f>D29/(1+$I$29)</f>
        <v>0.7117802478134109</v>
      </c>
      <c r="F29" s="59">
        <f>E29/(1+$I$29)</f>
        <v>0.6355180784048311</v>
      </c>
      <c r="G29" s="59">
        <f>F29/(1+$I$29)</f>
        <v>0.5674268557185992</v>
      </c>
      <c r="I29" s="60">
        <v>0.12</v>
      </c>
      <c r="L29" s="29"/>
      <c r="M29" s="33"/>
      <c r="N29" s="34"/>
      <c r="O29" s="34"/>
      <c r="P29" s="29"/>
      <c r="Q29" s="35"/>
      <c r="R29" s="33"/>
      <c r="S29" s="29"/>
    </row>
    <row r="30" spans="1:19" ht="13.5" thickBot="1">
      <c r="A30" s="152" t="s">
        <v>160</v>
      </c>
      <c r="B30" s="57">
        <f aca="true" t="shared" si="6" ref="B30:G30">B29*B23</f>
        <v>-900</v>
      </c>
      <c r="C30" s="57">
        <f t="shared" si="6"/>
        <v>280.0420971786087</v>
      </c>
      <c r="D30" s="57">
        <f t="shared" si="6"/>
        <v>325.6453010523292</v>
      </c>
      <c r="E30" s="57">
        <f t="shared" si="6"/>
        <v>358.26162083753877</v>
      </c>
      <c r="F30" s="57">
        <f t="shared" si="6"/>
        <v>350.01345063847305</v>
      </c>
      <c r="G30" s="57">
        <f t="shared" si="6"/>
        <v>339.42004830408223</v>
      </c>
      <c r="L30" s="29"/>
      <c r="M30" s="33"/>
      <c r="N30" s="34"/>
      <c r="O30" s="34"/>
      <c r="P30" s="29"/>
      <c r="Q30" s="35"/>
      <c r="R30" s="33"/>
      <c r="S30" s="29"/>
    </row>
    <row r="31" spans="1:19" ht="13.5" thickBot="1">
      <c r="A31" s="152" t="s">
        <v>137</v>
      </c>
      <c r="B31" s="57">
        <f>B30</f>
        <v>-900</v>
      </c>
      <c r="C31" s="57">
        <f>B31+C30</f>
        <v>-619.9579028213914</v>
      </c>
      <c r="D31" s="57">
        <f>C31+D30</f>
        <v>-294.31260176906216</v>
      </c>
      <c r="E31" s="57">
        <f>D31+E30</f>
        <v>63.949019068476616</v>
      </c>
      <c r="F31" s="57">
        <f>E31+F30</f>
        <v>413.96246970694966</v>
      </c>
      <c r="G31" s="57">
        <f>F31+G30</f>
        <v>753.3825180110318</v>
      </c>
      <c r="I31" s="166">
        <f>G31</f>
        <v>753.3825180110318</v>
      </c>
      <c r="L31" s="29"/>
      <c r="M31" s="33"/>
      <c r="N31" s="34"/>
      <c r="O31" s="34"/>
      <c r="P31" s="29"/>
      <c r="Q31" s="29"/>
      <c r="R31" s="29"/>
      <c r="S31" s="29"/>
    </row>
    <row r="32" spans="1:19" ht="13.5" thickBot="1">
      <c r="A32" s="173"/>
      <c r="B32" s="30"/>
      <c r="C32" s="61"/>
      <c r="D32" s="61"/>
      <c r="E32" s="61"/>
      <c r="F32" s="61"/>
      <c r="G32" s="61"/>
      <c r="H32" s="24"/>
      <c r="I32" s="62"/>
      <c r="L32" s="29"/>
      <c r="M32" s="29"/>
      <c r="N32" s="29"/>
      <c r="O32" s="29"/>
      <c r="P32" s="29"/>
      <c r="Q32" s="29"/>
      <c r="R32" s="33"/>
      <c r="S32" s="29"/>
    </row>
    <row r="33" spans="1:19" ht="16.5" hidden="1" thickBot="1">
      <c r="A33" s="152"/>
      <c r="B33" s="27"/>
      <c r="C33" s="57"/>
      <c r="D33" s="63"/>
      <c r="E33" s="63"/>
      <c r="F33" s="63"/>
      <c r="G33" s="63"/>
      <c r="H33" s="29"/>
      <c r="I33" s="29"/>
      <c r="L33" s="29"/>
      <c r="M33" s="29"/>
      <c r="N33" s="29"/>
      <c r="O33" s="29"/>
      <c r="P33" s="29"/>
      <c r="Q33" s="29"/>
      <c r="R33" s="29"/>
      <c r="S33" s="29"/>
    </row>
    <row r="34" spans="1:19" ht="12.75">
      <c r="A34" s="152"/>
      <c r="B34" s="27"/>
      <c r="C34" s="57"/>
      <c r="D34" s="57"/>
      <c r="E34" s="57"/>
      <c r="F34" s="57"/>
      <c r="G34" s="57"/>
      <c r="H34" s="29"/>
      <c r="I34" s="64" t="s">
        <v>33</v>
      </c>
      <c r="L34" s="29"/>
      <c r="M34" s="29"/>
      <c r="N34" s="29"/>
      <c r="O34" s="29"/>
      <c r="P34" s="29"/>
      <c r="Q34" s="29"/>
      <c r="R34" s="29"/>
      <c r="S34" s="29"/>
    </row>
    <row r="35" spans="1:19" ht="16.5" thickBot="1">
      <c r="A35" s="175" t="s">
        <v>33</v>
      </c>
      <c r="B35" s="165"/>
      <c r="C35" s="57"/>
      <c r="D35" s="57"/>
      <c r="E35" s="57"/>
      <c r="F35" s="57"/>
      <c r="G35" s="57"/>
      <c r="H35" s="29"/>
      <c r="I35" s="65">
        <f>IRR(B23:H23)</f>
        <v>0.3826604321007503</v>
      </c>
      <c r="L35" s="29"/>
      <c r="M35" s="29"/>
      <c r="N35" s="29"/>
      <c r="O35" s="29"/>
      <c r="P35" s="29"/>
      <c r="Q35" s="29"/>
      <c r="R35" s="29"/>
      <c r="S35" s="29"/>
    </row>
    <row r="36" spans="1:19" ht="12.75">
      <c r="A36" s="175" t="s">
        <v>140</v>
      </c>
      <c r="B36" s="165"/>
      <c r="C36" s="167"/>
      <c r="D36" s="167"/>
      <c r="E36" s="167"/>
      <c r="F36" s="167"/>
      <c r="G36" s="167"/>
      <c r="H36" s="158"/>
      <c r="I36" s="158">
        <f>ROUND(((-B23-SUM(C23:F23))/(G23/12))+60,0)</f>
        <v>42</v>
      </c>
      <c r="L36" s="29"/>
      <c r="M36" s="29"/>
      <c r="N36" s="29"/>
      <c r="O36" s="29"/>
      <c r="P36" s="29"/>
      <c r="Q36" s="29"/>
      <c r="R36" s="29"/>
      <c r="S36" s="29"/>
    </row>
    <row r="37" spans="1:9" ht="12.75">
      <c r="A37" s="175" t="s">
        <v>141</v>
      </c>
      <c r="B37" s="165"/>
      <c r="C37" s="167"/>
      <c r="D37" s="167"/>
      <c r="E37" s="167"/>
      <c r="F37" s="167"/>
      <c r="G37" s="167"/>
      <c r="H37" s="158"/>
      <c r="I37" s="158">
        <f>ROUND(I36/12,1)</f>
        <v>3.5</v>
      </c>
    </row>
    <row r="38" ht="12.75">
      <c r="E38" s="67"/>
    </row>
    <row r="40" ht="12.75">
      <c r="E40" s="67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80"/>
  <headerFooter alignWithMargins="0">
    <oddHeader>&amp;C&amp;F&amp;R]</oddHeader>
    <oddFooter>&amp;L&amp;6&amp;F   &amp;A  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="200" zoomScaleNormal="200" zoomScalePageLayoutView="0" workbookViewId="0" topLeftCell="C9">
      <selection activeCell="C12" sqref="C12"/>
    </sheetView>
  </sheetViews>
  <sheetFormatPr defaultColWidth="8.625" defaultRowHeight="12.75"/>
  <cols>
    <col min="1" max="1" width="10.125" style="0" customWidth="1"/>
    <col min="2" max="2" width="56.375" style="0" customWidth="1"/>
    <col min="3" max="3" width="24.50390625" style="0" customWidth="1"/>
    <col min="4" max="4" width="27.375" style="0" customWidth="1"/>
  </cols>
  <sheetData>
    <row r="1" spans="1:5" ht="24.75" customHeight="1">
      <c r="A1" s="97"/>
      <c r="B1" s="98" t="s">
        <v>162</v>
      </c>
      <c r="C1" s="184" t="s">
        <v>163</v>
      </c>
      <c r="D1" s="184"/>
      <c r="E1" s="96"/>
    </row>
    <row r="2" spans="1:5" ht="15.75">
      <c r="A2" s="100" t="s">
        <v>0</v>
      </c>
      <c r="B2" s="100" t="s">
        <v>124</v>
      </c>
      <c r="C2" s="100" t="s">
        <v>164</v>
      </c>
      <c r="D2" s="100" t="s">
        <v>165</v>
      </c>
      <c r="E2" s="96"/>
    </row>
    <row r="3" spans="1:5" ht="15.75">
      <c r="A3" s="97">
        <v>1</v>
      </c>
      <c r="B3" s="97" t="s">
        <v>166</v>
      </c>
      <c r="C3" s="97" t="s">
        <v>36</v>
      </c>
      <c r="D3" s="101">
        <v>110000000</v>
      </c>
      <c r="E3" s="96"/>
    </row>
    <row r="4" spans="1:5" ht="15.75">
      <c r="A4" s="97">
        <v>2</v>
      </c>
      <c r="B4" s="97" t="s">
        <v>167</v>
      </c>
      <c r="C4" s="97" t="s">
        <v>170</v>
      </c>
      <c r="D4" s="101">
        <v>2000</v>
      </c>
      <c r="E4" s="96"/>
    </row>
    <row r="5" spans="1:7" ht="15.75">
      <c r="A5" s="97">
        <v>3</v>
      </c>
      <c r="B5" s="97" t="s">
        <v>168</v>
      </c>
      <c r="C5" s="97" t="s">
        <v>171</v>
      </c>
      <c r="D5" s="101">
        <v>2</v>
      </c>
      <c r="E5" s="96"/>
      <c r="F5" s="96"/>
      <c r="G5" s="96"/>
    </row>
    <row r="6" spans="1:5" ht="15.75">
      <c r="A6" s="97">
        <v>4</v>
      </c>
      <c r="B6" s="97" t="s">
        <v>169</v>
      </c>
      <c r="C6" s="97" t="s">
        <v>170</v>
      </c>
      <c r="D6" s="101">
        <v>19</v>
      </c>
      <c r="E6" s="96"/>
    </row>
    <row r="7" spans="1:5" ht="15.75">
      <c r="A7" s="97">
        <v>5</v>
      </c>
      <c r="B7" s="97" t="s">
        <v>172</v>
      </c>
      <c r="C7" s="97" t="s">
        <v>173</v>
      </c>
      <c r="D7" s="101"/>
      <c r="E7" s="96"/>
    </row>
    <row r="8" spans="1:5" ht="15.75">
      <c r="A8" s="97">
        <v>6</v>
      </c>
      <c r="B8" s="97" t="s">
        <v>174</v>
      </c>
      <c r="C8" s="97" t="s">
        <v>175</v>
      </c>
      <c r="D8" s="101">
        <v>75</v>
      </c>
      <c r="E8" s="96"/>
    </row>
    <row r="9" spans="1:5" ht="15.75">
      <c r="A9" s="97">
        <v>7</v>
      </c>
      <c r="B9" s="97" t="s">
        <v>176</v>
      </c>
      <c r="C9" s="97" t="s">
        <v>177</v>
      </c>
      <c r="D9" s="101">
        <f>455*D8</f>
        <v>34125</v>
      </c>
      <c r="E9" s="96"/>
    </row>
    <row r="10" spans="1:5" ht="15.75">
      <c r="A10" s="97">
        <v>8</v>
      </c>
      <c r="B10" s="97" t="s">
        <v>178</v>
      </c>
      <c r="C10" s="97" t="s">
        <v>179</v>
      </c>
      <c r="D10" s="101">
        <f>3.5*2000</f>
        <v>7000</v>
      </c>
      <c r="E10" s="96"/>
    </row>
    <row r="11" spans="1:5" ht="31.5">
      <c r="A11" s="97">
        <v>9</v>
      </c>
      <c r="B11" s="99" t="s">
        <v>181</v>
      </c>
      <c r="C11" s="97" t="s">
        <v>68</v>
      </c>
      <c r="D11" s="101">
        <v>1000000</v>
      </c>
      <c r="E11" s="96"/>
    </row>
    <row r="12" spans="1:5" ht="15.75">
      <c r="A12" s="97">
        <v>10</v>
      </c>
      <c r="B12" s="97" t="s">
        <v>182</v>
      </c>
      <c r="C12" s="97" t="s">
        <v>68</v>
      </c>
      <c r="D12" s="101">
        <v>1000000</v>
      </c>
      <c r="E12" s="96"/>
    </row>
    <row r="13" spans="1:5" ht="15.75">
      <c r="A13" s="97">
        <v>11</v>
      </c>
      <c r="B13" s="97" t="s">
        <v>75</v>
      </c>
      <c r="C13" s="97" t="s">
        <v>183</v>
      </c>
      <c r="D13" s="101">
        <v>5000</v>
      </c>
      <c r="E13" s="96"/>
    </row>
    <row r="14" spans="1:5" ht="15.75">
      <c r="A14" s="97">
        <v>12</v>
      </c>
      <c r="B14" s="97" t="s">
        <v>184</v>
      </c>
      <c r="C14" s="97" t="s">
        <v>185</v>
      </c>
      <c r="D14" s="101">
        <f>1000*19*2*1.5</f>
        <v>57000</v>
      </c>
      <c r="E14" s="96"/>
    </row>
    <row r="15" spans="1:5" ht="15.75">
      <c r="A15" s="97">
        <v>13</v>
      </c>
      <c r="B15" s="97" t="s">
        <v>186</v>
      </c>
      <c r="C15" s="97" t="s">
        <v>187</v>
      </c>
      <c r="D15" s="101">
        <v>1000</v>
      </c>
      <c r="E15" s="96"/>
    </row>
    <row r="16" spans="1:5" ht="15.75">
      <c r="A16" s="97">
        <v>14</v>
      </c>
      <c r="B16" s="97" t="s">
        <v>188</v>
      </c>
      <c r="C16" s="97" t="s">
        <v>179</v>
      </c>
      <c r="D16" s="101">
        <v>1000</v>
      </c>
      <c r="E16" s="96"/>
    </row>
    <row r="17" spans="1:5" ht="15.75">
      <c r="A17" s="97">
        <v>15</v>
      </c>
      <c r="B17" s="97" t="s">
        <v>189</v>
      </c>
      <c r="C17" s="97" t="s">
        <v>179</v>
      </c>
      <c r="D17" s="101">
        <v>2000</v>
      </c>
      <c r="E17" s="96"/>
    </row>
    <row r="18" spans="1:5" ht="15.75">
      <c r="A18" s="97">
        <v>16</v>
      </c>
      <c r="B18" s="99" t="s">
        <v>180</v>
      </c>
      <c r="C18" s="97" t="s">
        <v>179</v>
      </c>
      <c r="D18" s="101">
        <v>1000</v>
      </c>
      <c r="E18" s="96"/>
    </row>
    <row r="19" spans="1:5" ht="15.75">
      <c r="A19" s="97">
        <v>17</v>
      </c>
      <c r="B19" s="97" t="s">
        <v>190</v>
      </c>
      <c r="C19" s="97" t="s">
        <v>179</v>
      </c>
      <c r="D19" s="101">
        <f>6*2000</f>
        <v>12000</v>
      </c>
      <c r="E19" s="96"/>
    </row>
    <row r="20" spans="1:5" ht="15.75">
      <c r="A20" s="97">
        <v>18</v>
      </c>
      <c r="B20" s="97" t="s">
        <v>113</v>
      </c>
      <c r="C20" s="97" t="s">
        <v>179</v>
      </c>
      <c r="D20" s="101">
        <v>500</v>
      </c>
      <c r="E20" s="96"/>
    </row>
    <row r="21" spans="1:5" ht="15.75">
      <c r="A21" s="97">
        <v>19</v>
      </c>
      <c r="B21" s="97" t="s">
        <v>191</v>
      </c>
      <c r="C21" s="97" t="s">
        <v>185</v>
      </c>
      <c r="D21" s="101">
        <v>20000</v>
      </c>
      <c r="E21" s="96"/>
    </row>
    <row r="22" spans="1:5" ht="15.75">
      <c r="A22" s="96"/>
      <c r="B22" s="96"/>
      <c r="C22" s="96"/>
      <c r="D22" s="96"/>
      <c r="E22" s="96"/>
    </row>
    <row r="23" spans="1:5" ht="15.75">
      <c r="A23" s="96"/>
      <c r="B23" s="96"/>
      <c r="C23" s="96"/>
      <c r="D23" s="96"/>
      <c r="E23" s="96"/>
    </row>
    <row r="24" spans="1:5" ht="15.75">
      <c r="A24" s="96"/>
      <c r="B24" s="96"/>
      <c r="C24" s="96"/>
      <c r="D24" s="96"/>
      <c r="E24" s="96"/>
    </row>
    <row r="25" spans="1:5" ht="15.75">
      <c r="A25" s="96"/>
      <c r="B25" s="96"/>
      <c r="C25" s="96"/>
      <c r="D25" s="96"/>
      <c r="E25" s="96"/>
    </row>
    <row r="26" spans="1:5" ht="15.75">
      <c r="A26" s="96"/>
      <c r="B26" s="96"/>
      <c r="C26" s="96"/>
      <c r="D26" s="96"/>
      <c r="E26" s="96"/>
    </row>
    <row r="27" spans="1:5" ht="15.75">
      <c r="A27" s="96"/>
      <c r="B27" s="96"/>
      <c r="C27" s="96"/>
      <c r="D27" s="96"/>
      <c r="E27" s="96"/>
    </row>
    <row r="28" spans="1:5" ht="15.75">
      <c r="A28" s="96"/>
      <c r="B28" s="96"/>
      <c r="C28" s="96"/>
      <c r="D28" s="96"/>
      <c r="E28" s="96"/>
    </row>
    <row r="29" spans="1:5" ht="15.75">
      <c r="A29" s="96"/>
      <c r="B29" s="96"/>
      <c r="C29" s="96"/>
      <c r="D29" s="96"/>
      <c r="E29" s="96"/>
    </row>
    <row r="30" spans="1:5" ht="15.75">
      <c r="A30" s="96"/>
      <c r="B30" s="96"/>
      <c r="C30" s="96"/>
      <c r="D30" s="96"/>
      <c r="E30" s="96"/>
    </row>
    <row r="31" spans="1:5" ht="15.75">
      <c r="A31" s="96"/>
      <c r="B31" s="96"/>
      <c r="C31" s="96"/>
      <c r="D31" s="96"/>
      <c r="E31" s="96"/>
    </row>
    <row r="32" spans="1:5" ht="15.75">
      <c r="A32" s="96"/>
      <c r="B32" s="96"/>
      <c r="C32" s="96"/>
      <c r="D32" s="96"/>
      <c r="E32" s="96"/>
    </row>
    <row r="33" spans="1:5" ht="15.75">
      <c r="A33" s="96"/>
      <c r="B33" s="96"/>
      <c r="C33" s="96"/>
      <c r="D33" s="96"/>
      <c r="E33" s="96"/>
    </row>
    <row r="34" spans="1:5" ht="15.75">
      <c r="A34" s="96"/>
      <c r="B34" s="96"/>
      <c r="C34" s="96"/>
      <c r="D34" s="96"/>
      <c r="E34" s="96"/>
    </row>
    <row r="35" spans="1:5" ht="15.75">
      <c r="A35" s="96"/>
      <c r="B35" s="96"/>
      <c r="C35" s="96"/>
      <c r="D35" s="96"/>
      <c r="E35" s="96"/>
    </row>
    <row r="36" spans="1:5" ht="15.75">
      <c r="A36" s="96"/>
      <c r="B36" s="96"/>
      <c r="C36" s="96"/>
      <c r="D36" s="96"/>
      <c r="E36" s="96"/>
    </row>
    <row r="37" spans="1:5" ht="15.75">
      <c r="A37" s="96"/>
      <c r="B37" s="96"/>
      <c r="C37" s="96"/>
      <c r="D37" s="96"/>
      <c r="E37" s="96"/>
    </row>
    <row r="38" spans="1:5" ht="15.75">
      <c r="A38" s="96"/>
      <c r="B38" s="96"/>
      <c r="C38" s="96"/>
      <c r="D38" s="96"/>
      <c r="E38" s="96"/>
    </row>
    <row r="39" spans="1:5" ht="15.75">
      <c r="A39" s="96"/>
      <c r="B39" s="96"/>
      <c r="C39" s="96"/>
      <c r="D39" s="96"/>
      <c r="E39" s="96"/>
    </row>
    <row r="40" spans="1:5" ht="15.75">
      <c r="A40" s="96"/>
      <c r="B40" s="96"/>
      <c r="C40" s="96"/>
      <c r="D40" s="96"/>
      <c r="E40" s="96"/>
    </row>
    <row r="41" spans="1:5" ht="15.75">
      <c r="A41" s="96"/>
      <c r="B41" s="96"/>
      <c r="C41" s="96"/>
      <c r="D41" s="96"/>
      <c r="E41" s="96"/>
    </row>
    <row r="42" spans="1:5" ht="15.75">
      <c r="A42" s="96"/>
      <c r="B42" s="96"/>
      <c r="C42" s="96"/>
      <c r="D42" s="96"/>
      <c r="E42" s="96"/>
    </row>
    <row r="43" spans="1:5" ht="15.75">
      <c r="A43" s="96"/>
      <c r="B43" s="96"/>
      <c r="C43" s="96"/>
      <c r="D43" s="96"/>
      <c r="E43" s="96"/>
    </row>
    <row r="44" spans="1:5" ht="15.75">
      <c r="A44" s="96"/>
      <c r="B44" s="96"/>
      <c r="C44" s="96"/>
      <c r="D44" s="96"/>
      <c r="E44" s="96"/>
    </row>
    <row r="45" spans="1:5" ht="15.75">
      <c r="A45" s="96"/>
      <c r="B45" s="96"/>
      <c r="C45" s="96"/>
      <c r="D45" s="96"/>
      <c r="E45" s="96"/>
    </row>
    <row r="46" spans="1:5" ht="15.75">
      <c r="A46" s="96"/>
      <c r="B46" s="96"/>
      <c r="C46" s="96"/>
      <c r="D46" s="96"/>
      <c r="E46" s="96"/>
    </row>
    <row r="47" spans="1:5" ht="15.75">
      <c r="A47" s="96"/>
      <c r="B47" s="96"/>
      <c r="C47" s="96"/>
      <c r="D47" s="96"/>
      <c r="E47" s="96"/>
    </row>
    <row r="48" spans="1:5" ht="15.75">
      <c r="A48" s="96"/>
      <c r="B48" s="96"/>
      <c r="C48" s="96"/>
      <c r="D48" s="96"/>
      <c r="E48" s="96"/>
    </row>
    <row r="49" spans="1:5" ht="15.75">
      <c r="A49" s="96"/>
      <c r="B49" s="96"/>
      <c r="C49" s="96"/>
      <c r="D49" s="96"/>
      <c r="E49" s="96"/>
    </row>
    <row r="50" spans="1:5" ht="15.75">
      <c r="A50" s="96"/>
      <c r="B50" s="96"/>
      <c r="C50" s="96"/>
      <c r="D50" s="96"/>
      <c r="E50" s="96"/>
    </row>
    <row r="51" spans="1:5" ht="15.75">
      <c r="A51" s="96"/>
      <c r="B51" s="96"/>
      <c r="C51" s="96"/>
      <c r="D51" s="96"/>
      <c r="E51" s="96"/>
    </row>
  </sheetData>
  <sheetProtection/>
  <mergeCells count="1">
    <mergeCell ref="C1:D1"/>
  </mergeCells>
  <printOptions/>
  <pageMargins left="0.75" right="0.75" top="1" bottom="1" header="0.3" footer="0.3"/>
  <pageSetup horizontalDpi="1200" verticalDpi="1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6"/>
  <sheetViews>
    <sheetView zoomScale="200" zoomScaleNormal="200" zoomScalePageLayoutView="0" workbookViewId="0" topLeftCell="A57">
      <selection activeCell="B4" sqref="B4:C4"/>
    </sheetView>
  </sheetViews>
  <sheetFormatPr defaultColWidth="11.00390625" defaultRowHeight="12.75"/>
  <cols>
    <col min="1" max="1" width="3.625" style="1" customWidth="1"/>
    <col min="2" max="2" width="58.125" style="1" customWidth="1"/>
    <col min="3" max="3" width="11.50390625" style="1" customWidth="1"/>
    <col min="4" max="4" width="11.625" style="1" customWidth="1"/>
    <col min="5" max="16384" width="11.00390625" style="1" customWidth="1"/>
  </cols>
  <sheetData>
    <row r="1" ht="12">
      <c r="D1" s="13"/>
    </row>
    <row r="2" spans="1:4" ht="12.75" customHeight="1">
      <c r="A2" s="181" t="s">
        <v>40</v>
      </c>
      <c r="B2" s="181"/>
      <c r="C2" s="182" t="s">
        <v>55</v>
      </c>
      <c r="D2" s="182"/>
    </row>
    <row r="3" spans="2:3" ht="12">
      <c r="B3" s="183" t="s">
        <v>41</v>
      </c>
      <c r="C3" s="183"/>
    </row>
    <row r="4" spans="2:3" ht="12">
      <c r="B4" s="183" t="s">
        <v>42</v>
      </c>
      <c r="C4" s="183"/>
    </row>
    <row r="5" spans="1:4" s="5" customFormat="1" ht="12">
      <c r="A5" s="2" t="s">
        <v>0</v>
      </c>
      <c r="B5" s="3" t="s">
        <v>43</v>
      </c>
      <c r="C5" s="4" t="s">
        <v>44</v>
      </c>
      <c r="D5" s="19" t="s">
        <v>34</v>
      </c>
    </row>
    <row r="6" spans="1:4" ht="12">
      <c r="A6" s="6" t="s">
        <v>1</v>
      </c>
      <c r="B6" s="3" t="s">
        <v>45</v>
      </c>
      <c r="C6" s="7">
        <v>80</v>
      </c>
      <c r="D6" s="72"/>
    </row>
    <row r="7" spans="1:4" ht="12">
      <c r="A7" s="6" t="s">
        <v>2</v>
      </c>
      <c r="B7" s="3" t="s">
        <v>46</v>
      </c>
      <c r="C7" s="7"/>
      <c r="D7" s="72"/>
    </row>
    <row r="8" spans="1:4" ht="12">
      <c r="A8" s="6" t="s">
        <v>3</v>
      </c>
      <c r="B8" s="3" t="s">
        <v>47</v>
      </c>
      <c r="C8" s="7">
        <f>Ferry!D9</f>
        <v>34125</v>
      </c>
      <c r="D8" s="72"/>
    </row>
    <row r="9" spans="1:4" ht="12">
      <c r="A9" s="6" t="s">
        <v>4</v>
      </c>
      <c r="B9" s="3" t="s">
        <v>48</v>
      </c>
      <c r="C9" s="103">
        <v>131</v>
      </c>
      <c r="D9" s="72"/>
    </row>
    <row r="10" spans="1:4" ht="12">
      <c r="A10" s="6" t="s">
        <v>5</v>
      </c>
      <c r="B10" s="3" t="s">
        <v>49</v>
      </c>
      <c r="C10" s="103">
        <v>450</v>
      </c>
      <c r="D10" s="72"/>
    </row>
    <row r="11" spans="1:4" ht="12">
      <c r="A11" s="6" t="s">
        <v>6</v>
      </c>
      <c r="B11" s="3" t="s">
        <v>50</v>
      </c>
      <c r="C11" s="103">
        <v>30</v>
      </c>
      <c r="D11" s="72"/>
    </row>
    <row r="12" spans="1:4" ht="12">
      <c r="A12" s="6" t="s">
        <v>7</v>
      </c>
      <c r="B12" s="3" t="s">
        <v>51</v>
      </c>
      <c r="C12" s="103">
        <f>70</f>
        <v>70</v>
      </c>
      <c r="D12" s="72"/>
    </row>
    <row r="13" spans="1:4" ht="12">
      <c r="A13" s="9" t="s">
        <v>8</v>
      </c>
      <c r="B13" s="3" t="s">
        <v>52</v>
      </c>
      <c r="C13" s="7">
        <v>2</v>
      </c>
      <c r="D13" s="72"/>
    </row>
    <row r="14" spans="1:4" ht="12">
      <c r="A14" s="9" t="s">
        <v>9</v>
      </c>
      <c r="B14" s="3" t="s">
        <v>53</v>
      </c>
      <c r="C14" s="8">
        <v>3</v>
      </c>
      <c r="D14" s="72"/>
    </row>
    <row r="15" spans="1:4" ht="12">
      <c r="A15" s="9" t="s">
        <v>16</v>
      </c>
      <c r="B15" s="3" t="s">
        <v>54</v>
      </c>
      <c r="C15" s="8">
        <v>19</v>
      </c>
      <c r="D15" s="72"/>
    </row>
    <row r="16" spans="1:4" s="10" customFormat="1" ht="12">
      <c r="A16" s="9" t="s">
        <v>17</v>
      </c>
      <c r="B16" s="3" t="s">
        <v>65</v>
      </c>
      <c r="C16" s="8">
        <v>2000</v>
      </c>
      <c r="D16" s="72"/>
    </row>
    <row r="17" spans="1:4" s="10" customFormat="1" ht="12">
      <c r="A17" s="9" t="s">
        <v>23</v>
      </c>
      <c r="B17" s="11" t="s">
        <v>56</v>
      </c>
      <c r="C17" s="17">
        <v>40</v>
      </c>
      <c r="D17" s="20"/>
    </row>
    <row r="18" spans="1:4" s="10" customFormat="1" ht="12">
      <c r="A18" s="9" t="s">
        <v>30</v>
      </c>
      <c r="B18" s="3" t="s">
        <v>57</v>
      </c>
      <c r="C18" s="7">
        <v>30</v>
      </c>
      <c r="D18" s="16"/>
    </row>
    <row r="19" spans="1:4" s="10" customFormat="1" ht="12">
      <c r="A19" s="9" t="s">
        <v>31</v>
      </c>
      <c r="B19" s="3" t="s">
        <v>58</v>
      </c>
      <c r="C19" s="7">
        <v>12</v>
      </c>
      <c r="D19" s="16"/>
    </row>
    <row r="20" spans="1:4" s="10" customFormat="1" ht="12">
      <c r="A20" s="9" t="s">
        <v>32</v>
      </c>
      <c r="B20" s="3" t="s">
        <v>59</v>
      </c>
      <c r="C20" s="7">
        <f>C18*C14</f>
        <v>90</v>
      </c>
      <c r="D20" s="16"/>
    </row>
    <row r="21" spans="1:4" s="10" customFormat="1" ht="12">
      <c r="A21" s="9" t="s">
        <v>37</v>
      </c>
      <c r="B21" s="3" t="s">
        <v>60</v>
      </c>
      <c r="C21" s="7">
        <v>1</v>
      </c>
      <c r="D21" s="16"/>
    </row>
    <row r="22" spans="1:4" s="10" customFormat="1" ht="12">
      <c r="A22" s="9" t="s">
        <v>38</v>
      </c>
      <c r="B22" s="3" t="s">
        <v>61</v>
      </c>
      <c r="C22" s="7">
        <f>Ferry!D3/1000</f>
        <v>110000</v>
      </c>
      <c r="D22" s="16"/>
    </row>
    <row r="23" spans="1:4" s="10" customFormat="1" ht="12">
      <c r="A23" s="9" t="s">
        <v>39</v>
      </c>
      <c r="B23" s="11" t="s">
        <v>62</v>
      </c>
      <c r="C23" s="7">
        <f>C14*C16</f>
        <v>6000</v>
      </c>
      <c r="D23" s="16"/>
    </row>
    <row r="24" spans="1:4" s="10" customFormat="1" ht="12">
      <c r="A24" s="9"/>
      <c r="B24" s="3" t="s">
        <v>64</v>
      </c>
      <c r="C24" s="7">
        <f>C23*C18</f>
        <v>180000</v>
      </c>
      <c r="D24" s="16"/>
    </row>
    <row r="25" spans="1:4" s="10" customFormat="1" ht="12">
      <c r="A25" s="9"/>
      <c r="B25" s="3" t="s">
        <v>63</v>
      </c>
      <c r="C25" s="7"/>
      <c r="D25" s="17">
        <f>C24*11</f>
        <v>1980000</v>
      </c>
    </row>
    <row r="26" spans="1:4" s="10" customFormat="1" ht="12">
      <c r="A26" s="9"/>
      <c r="B26" s="3"/>
      <c r="C26" s="7"/>
      <c r="D26" s="16"/>
    </row>
    <row r="27" spans="1:4" s="10" customFormat="1" ht="12">
      <c r="A27" s="9"/>
      <c r="B27" s="11" t="s">
        <v>66</v>
      </c>
      <c r="C27" s="15" t="s">
        <v>67</v>
      </c>
      <c r="D27" s="142" t="s">
        <v>68</v>
      </c>
    </row>
    <row r="28" spans="1:4" s="10" customFormat="1" ht="12">
      <c r="A28" s="9" t="s">
        <v>10</v>
      </c>
      <c r="B28" s="3" t="s">
        <v>69</v>
      </c>
      <c r="C28" s="73">
        <f>C8/C14</f>
        <v>11375</v>
      </c>
      <c r="D28" s="74">
        <f>C28*$C$20*$C$19</f>
        <v>12285000</v>
      </c>
    </row>
    <row r="29" spans="1:4" s="10" customFormat="1" ht="12">
      <c r="A29" s="9" t="s">
        <v>11</v>
      </c>
      <c r="B29" s="3" t="s">
        <v>70</v>
      </c>
      <c r="C29" s="73">
        <f>Ferry!D11/360/Ferry_opercosts!C14+Ferry!D16+Ferry!D17+Ferry!D18</f>
        <v>4925.925925925926</v>
      </c>
      <c r="D29" s="74">
        <f aca="true" t="shared" si="0" ref="D29:D39">C29*$C$20*$C$19</f>
        <v>5320000</v>
      </c>
    </row>
    <row r="30" spans="1:4" s="10" customFormat="1" ht="12">
      <c r="A30" s="9" t="s">
        <v>12</v>
      </c>
      <c r="B30" s="3" t="s">
        <v>71</v>
      </c>
      <c r="C30" s="73">
        <f>Ferry!D10+Ferry!D19+Ferry!D15*1.5</f>
        <v>20500</v>
      </c>
      <c r="D30" s="74">
        <f t="shared" si="0"/>
        <v>22140000</v>
      </c>
    </row>
    <row r="31" spans="1:4" ht="12">
      <c r="A31" s="6" t="s">
        <v>13</v>
      </c>
      <c r="B31" s="3" t="s">
        <v>72</v>
      </c>
      <c r="C31" s="73">
        <f>Ferry!D14/Ferry_opercosts!C20</f>
        <v>633.3333333333334</v>
      </c>
      <c r="D31" s="74">
        <f t="shared" si="0"/>
        <v>684000</v>
      </c>
    </row>
    <row r="32" spans="1:4" ht="12">
      <c r="A32" s="6" t="s">
        <v>14</v>
      </c>
      <c r="B32" s="3" t="s">
        <v>73</v>
      </c>
      <c r="C32" s="75">
        <f>C31*0.4</f>
        <v>253.33333333333337</v>
      </c>
      <c r="D32" s="74">
        <f t="shared" si="0"/>
        <v>273600.00000000006</v>
      </c>
    </row>
    <row r="33" spans="1:4" ht="12">
      <c r="A33" s="6" t="s">
        <v>15</v>
      </c>
      <c r="B33" s="3" t="s">
        <v>74</v>
      </c>
      <c r="C33" s="73">
        <f>C22*1000/20/(C20*C19)</f>
        <v>5092.592592592592</v>
      </c>
      <c r="D33" s="74">
        <f t="shared" si="0"/>
        <v>5500000</v>
      </c>
    </row>
    <row r="34" spans="1:4" ht="12">
      <c r="A34" s="6" t="s">
        <v>18</v>
      </c>
      <c r="B34" s="3" t="s">
        <v>75</v>
      </c>
      <c r="C34" s="73">
        <f>Ferry!D13</f>
        <v>5000</v>
      </c>
      <c r="D34" s="74">
        <f t="shared" si="0"/>
        <v>5400000</v>
      </c>
    </row>
    <row r="35" spans="1:4" ht="12">
      <c r="A35" s="6" t="s">
        <v>19</v>
      </c>
      <c r="B35" s="3" t="s">
        <v>76</v>
      </c>
      <c r="C35" s="75">
        <f>Ferry!D12/360/3</f>
        <v>925.925925925926</v>
      </c>
      <c r="D35" s="74">
        <f t="shared" si="0"/>
        <v>1000000.0000000001</v>
      </c>
    </row>
    <row r="36" spans="1:4" ht="12">
      <c r="A36" s="6" t="s">
        <v>20</v>
      </c>
      <c r="B36" s="3" t="s">
        <v>77</v>
      </c>
      <c r="C36" s="75">
        <f>Ferry!D20+Ferry!D21/Ferry_opercosts!C20</f>
        <v>722.2222222222222</v>
      </c>
      <c r="D36" s="74">
        <f t="shared" si="0"/>
        <v>779999.9999999999</v>
      </c>
    </row>
    <row r="37" spans="1:4" ht="12">
      <c r="A37" s="6" t="s">
        <v>21</v>
      </c>
      <c r="B37" s="11" t="s">
        <v>78</v>
      </c>
      <c r="C37" s="76">
        <f>SUM(C28:C36)</f>
        <v>49428.333333333336</v>
      </c>
      <c r="D37" s="74">
        <f t="shared" si="0"/>
        <v>53382600</v>
      </c>
    </row>
    <row r="38" spans="1:4" ht="12">
      <c r="A38" s="6" t="s">
        <v>22</v>
      </c>
      <c r="B38" s="3" t="s">
        <v>79</v>
      </c>
      <c r="C38" s="75">
        <f>C37*20%</f>
        <v>9885.666666666668</v>
      </c>
      <c r="D38" s="74">
        <f t="shared" si="0"/>
        <v>10676520.000000002</v>
      </c>
    </row>
    <row r="39" spans="1:4" ht="12">
      <c r="A39" s="6" t="s">
        <v>29</v>
      </c>
      <c r="B39" s="11" t="s">
        <v>80</v>
      </c>
      <c r="C39" s="77">
        <f>C37+C38</f>
        <v>59314</v>
      </c>
      <c r="D39" s="74">
        <f t="shared" si="0"/>
        <v>64059120</v>
      </c>
    </row>
    <row r="40" spans="1:4" ht="12">
      <c r="A40" s="6"/>
      <c r="B40" s="11"/>
      <c r="C40" s="12"/>
      <c r="D40" s="2"/>
    </row>
    <row r="41" spans="1:4" ht="12">
      <c r="A41" s="6"/>
      <c r="B41" s="11" t="s">
        <v>81</v>
      </c>
      <c r="C41" s="143" t="s">
        <v>83</v>
      </c>
      <c r="D41" s="144" t="s">
        <v>84</v>
      </c>
    </row>
    <row r="42" spans="1:4" ht="12">
      <c r="A42" s="6" t="s">
        <v>24</v>
      </c>
      <c r="B42" s="3" t="s">
        <v>88</v>
      </c>
      <c r="C42" s="75">
        <f>(C17*C16+C9*3*C11+C10*C12)*0.7</f>
        <v>86303</v>
      </c>
      <c r="D42" s="78">
        <f>C42*C20*C19</f>
        <v>93207240</v>
      </c>
    </row>
    <row r="43" spans="1:4" ht="12">
      <c r="A43" s="6" t="s">
        <v>25</v>
      </c>
      <c r="B43" s="3" t="s">
        <v>82</v>
      </c>
      <c r="C43" s="75">
        <f>C42-C39</f>
        <v>26989</v>
      </c>
      <c r="D43" s="75">
        <f>D42-D39</f>
        <v>29148120</v>
      </c>
    </row>
    <row r="44" spans="1:4" ht="12">
      <c r="A44" s="6"/>
      <c r="B44" s="3" t="s">
        <v>85</v>
      </c>
      <c r="C44" s="79">
        <f>C43/C39*100</f>
        <v>45.50190511514988</v>
      </c>
      <c r="D44" s="78"/>
    </row>
    <row r="45" spans="1:4" ht="12">
      <c r="A45" s="6" t="s">
        <v>26</v>
      </c>
      <c r="B45" s="3" t="s">
        <v>86</v>
      </c>
      <c r="C45" s="75">
        <f>C43*15%</f>
        <v>4048.35</v>
      </c>
      <c r="D45" s="75">
        <f>D43*15%</f>
        <v>4372218</v>
      </c>
    </row>
    <row r="46" spans="1:4" ht="12">
      <c r="A46" s="6" t="s">
        <v>27</v>
      </c>
      <c r="B46" s="3" t="s">
        <v>87</v>
      </c>
      <c r="C46" s="75">
        <f>240*1.4</f>
        <v>336</v>
      </c>
      <c r="D46" s="75">
        <f>240*1.4*C20*11/C19</f>
        <v>27720</v>
      </c>
    </row>
    <row r="47" spans="1:4" ht="12">
      <c r="A47" s="6" t="s">
        <v>28</v>
      </c>
      <c r="B47" s="3" t="s">
        <v>89</v>
      </c>
      <c r="C47" s="75">
        <f>C43-C45-C46</f>
        <v>22604.65</v>
      </c>
      <c r="D47" s="79">
        <f>D43-D45-D46</f>
        <v>24748182</v>
      </c>
    </row>
    <row r="48" spans="1:4" ht="12">
      <c r="A48" s="6"/>
      <c r="B48" s="11" t="s">
        <v>90</v>
      </c>
      <c r="C48" s="77">
        <f>C47/C39*100</f>
        <v>38.11014263074485</v>
      </c>
      <c r="D48" s="78"/>
    </row>
    <row r="49" spans="1:4" ht="12">
      <c r="A49" s="6"/>
      <c r="B49" s="11"/>
      <c r="C49" s="77"/>
      <c r="D49" s="78"/>
    </row>
    <row r="50" spans="1:4" ht="12">
      <c r="A50" s="6"/>
      <c r="B50" s="11" t="s">
        <v>91</v>
      </c>
      <c r="C50" s="15" t="s">
        <v>35</v>
      </c>
      <c r="D50" s="18" t="s">
        <v>35</v>
      </c>
    </row>
    <row r="51" spans="1:4" ht="12">
      <c r="A51" s="6"/>
      <c r="B51" s="3" t="s">
        <v>92</v>
      </c>
      <c r="C51" s="76">
        <f>C43*C20</f>
        <v>2429010</v>
      </c>
      <c r="D51" s="80">
        <f>C51/$C$19</f>
        <v>202417.5</v>
      </c>
    </row>
    <row r="52" spans="1:4" ht="12">
      <c r="A52" s="6"/>
      <c r="B52" s="3" t="s">
        <v>93</v>
      </c>
      <c r="C52" s="76">
        <f>C47*C20</f>
        <v>2034418.5000000002</v>
      </c>
      <c r="D52" s="80">
        <f>C52/$C$19</f>
        <v>169534.87500000003</v>
      </c>
    </row>
    <row r="53" spans="1:4" ht="12">
      <c r="A53" s="6"/>
      <c r="B53" s="3" t="s">
        <v>94</v>
      </c>
      <c r="C53" s="81">
        <f>C51*12</f>
        <v>29148120</v>
      </c>
      <c r="D53" s="80">
        <f>C53/$C$19</f>
        <v>2429010</v>
      </c>
    </row>
    <row r="54" spans="2:4" ht="12">
      <c r="B54" s="3" t="s">
        <v>95</v>
      </c>
      <c r="C54" s="81">
        <f>C52*12</f>
        <v>24413022.000000004</v>
      </c>
      <c r="D54" s="80">
        <f>C54/$C$19</f>
        <v>2034418.5000000002</v>
      </c>
    </row>
    <row r="56" spans="2:4" ht="15.75">
      <c r="B56" s="21"/>
      <c r="C56" s="22"/>
      <c r="D56" s="22"/>
    </row>
  </sheetData>
  <sheetProtection/>
  <mergeCells count="4">
    <mergeCell ref="A2:B2"/>
    <mergeCell ref="C2:D2"/>
    <mergeCell ref="B3:C3"/>
    <mergeCell ref="B4:C4"/>
  </mergeCells>
  <printOptions/>
  <pageMargins left="0.75" right="0.27" top="0.24" bottom="0.23" header="0.17" footer="0.1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selection activeCell="A3" sqref="A3:A37"/>
    </sheetView>
  </sheetViews>
  <sheetFormatPr defaultColWidth="9.125" defaultRowHeight="12.75"/>
  <cols>
    <col min="1" max="1" width="43.375" style="26" customWidth="1"/>
    <col min="2" max="2" width="10.875" style="26" customWidth="1"/>
    <col min="3" max="7" width="11.125" style="26" customWidth="1"/>
    <col min="8" max="8" width="1.37890625" style="26" customWidth="1"/>
    <col min="9" max="9" width="14.50390625" style="26" customWidth="1"/>
    <col min="10" max="10" width="13.625" style="26" customWidth="1"/>
    <col min="11" max="11" width="11.625" style="26" customWidth="1"/>
    <col min="12" max="12" width="16.125" style="26" customWidth="1"/>
    <col min="13" max="13" width="14.125" style="26" customWidth="1"/>
    <col min="14" max="14" width="12.625" style="26" customWidth="1"/>
    <col min="15" max="15" width="13.125" style="26" customWidth="1"/>
    <col min="16" max="16" width="11.00390625" style="26" customWidth="1"/>
    <col min="17" max="17" width="12.625" style="26" customWidth="1"/>
    <col min="18" max="18" width="15.50390625" style="26" customWidth="1"/>
    <col min="19" max="16384" width="9.125" style="26" customWidth="1"/>
  </cols>
  <sheetData>
    <row r="1" spans="1:9" ht="12.75">
      <c r="A1" s="23"/>
      <c r="B1" s="23"/>
      <c r="C1" s="23"/>
      <c r="D1" s="23"/>
      <c r="E1" s="23"/>
      <c r="F1" s="23"/>
      <c r="G1" s="23"/>
      <c r="H1" s="24"/>
      <c r="I1" s="25" t="s">
        <v>147</v>
      </c>
    </row>
    <row r="2" spans="1:9" ht="12.75">
      <c r="A2" s="86"/>
      <c r="B2" s="86"/>
      <c r="C2" s="87" t="s">
        <v>142</v>
      </c>
      <c r="D2" s="87" t="s">
        <v>143</v>
      </c>
      <c r="E2" s="87" t="s">
        <v>144</v>
      </c>
      <c r="F2" s="87" t="s">
        <v>145</v>
      </c>
      <c r="G2" s="87" t="s">
        <v>146</v>
      </c>
      <c r="H2" s="87"/>
      <c r="I2" s="88" t="s">
        <v>148</v>
      </c>
    </row>
    <row r="3" spans="1:19" ht="12.75">
      <c r="A3" s="145" t="s">
        <v>125</v>
      </c>
      <c r="B3" s="86"/>
      <c r="C3" s="89">
        <f>Ferry_opercosts!C17</f>
        <v>40</v>
      </c>
      <c r="D3" s="89">
        <f aca="true" t="shared" si="0" ref="D3:G4">C3</f>
        <v>40</v>
      </c>
      <c r="E3" s="89">
        <f t="shared" si="0"/>
        <v>40</v>
      </c>
      <c r="F3" s="89">
        <f t="shared" si="0"/>
        <v>40</v>
      </c>
      <c r="G3" s="89">
        <f t="shared" si="0"/>
        <v>40</v>
      </c>
      <c r="H3" s="89"/>
      <c r="I3" s="90"/>
      <c r="L3" s="29"/>
      <c r="M3" s="29"/>
      <c r="N3" s="29"/>
      <c r="O3" s="29"/>
      <c r="P3" s="29"/>
      <c r="Q3" s="29"/>
      <c r="R3" s="29"/>
      <c r="S3" s="29"/>
    </row>
    <row r="4" spans="1:19" ht="12.75">
      <c r="A4" s="172" t="s">
        <v>62</v>
      </c>
      <c r="B4" s="86"/>
      <c r="C4" s="89">
        <f>2000*3</f>
        <v>6000</v>
      </c>
      <c r="D4" s="89">
        <f t="shared" si="0"/>
        <v>6000</v>
      </c>
      <c r="E4" s="89">
        <f t="shared" si="0"/>
        <v>6000</v>
      </c>
      <c r="F4" s="89">
        <f t="shared" si="0"/>
        <v>6000</v>
      </c>
      <c r="G4" s="89">
        <f t="shared" si="0"/>
        <v>6000</v>
      </c>
      <c r="H4" s="90"/>
      <c r="I4" s="91"/>
      <c r="L4" s="29"/>
      <c r="M4" s="29"/>
      <c r="N4" s="29"/>
      <c r="O4" s="29"/>
      <c r="P4" s="29"/>
      <c r="Q4" s="29"/>
      <c r="R4" s="29"/>
      <c r="S4" s="29"/>
    </row>
    <row r="5" spans="1:19" ht="13.5" thickBot="1">
      <c r="A5" s="146" t="s">
        <v>157</v>
      </c>
      <c r="B5" s="92"/>
      <c r="C5" s="93">
        <v>0.7</v>
      </c>
      <c r="D5" s="93">
        <v>0.7</v>
      </c>
      <c r="E5" s="93">
        <v>0.7</v>
      </c>
      <c r="F5" s="93">
        <v>0.7</v>
      </c>
      <c r="G5" s="93">
        <v>0.7</v>
      </c>
      <c r="H5" s="94"/>
      <c r="I5" s="95"/>
      <c r="L5" s="29"/>
      <c r="M5" s="33"/>
      <c r="N5" s="34"/>
      <c r="O5" s="34"/>
      <c r="P5" s="29"/>
      <c r="Q5" s="35"/>
      <c r="R5" s="33"/>
      <c r="S5" s="29"/>
    </row>
    <row r="6" spans="1:19" ht="13.5" thickBot="1">
      <c r="A6" s="147" t="s">
        <v>158</v>
      </c>
      <c r="B6" s="82"/>
      <c r="C6" s="83">
        <f>Ferry_opercosts!D42/1000</f>
        <v>93207.24</v>
      </c>
      <c r="D6" s="83">
        <f>C6</f>
        <v>93207.24</v>
      </c>
      <c r="E6" s="83">
        <f>D6</f>
        <v>93207.24</v>
      </c>
      <c r="F6" s="83">
        <f>E6</f>
        <v>93207.24</v>
      </c>
      <c r="G6" s="83">
        <f>F6</f>
        <v>93207.24</v>
      </c>
      <c r="H6" s="84"/>
      <c r="I6" s="85">
        <f aca="true" t="shared" si="1" ref="I6:I11">SUM(B6:H6)</f>
        <v>466036.2</v>
      </c>
      <c r="L6" s="29"/>
      <c r="M6" s="33"/>
      <c r="N6" s="34"/>
      <c r="O6" s="34"/>
      <c r="P6" s="29"/>
      <c r="Q6" s="35"/>
      <c r="R6" s="33"/>
      <c r="S6" s="29"/>
    </row>
    <row r="7" spans="1:19" ht="12.75">
      <c r="A7" s="152"/>
      <c r="B7" s="27"/>
      <c r="C7" s="28"/>
      <c r="D7" s="28"/>
      <c r="E7" s="28"/>
      <c r="F7" s="28"/>
      <c r="G7" s="28"/>
      <c r="I7" s="36">
        <f t="shared" si="1"/>
        <v>0</v>
      </c>
      <c r="L7" s="29"/>
      <c r="M7" s="33"/>
      <c r="N7" s="34"/>
      <c r="O7" s="34"/>
      <c r="P7" s="29"/>
      <c r="Q7" s="35"/>
      <c r="R7" s="33"/>
      <c r="S7" s="29"/>
    </row>
    <row r="8" spans="1:19" ht="12.75">
      <c r="A8" s="152" t="s">
        <v>128</v>
      </c>
      <c r="B8" s="37"/>
      <c r="C8" s="28">
        <f>-Ferry_opercosts!D39/1000</f>
        <v>-64059.12</v>
      </c>
      <c r="D8" s="28">
        <f>C8</f>
        <v>-64059.12</v>
      </c>
      <c r="E8" s="28">
        <f>D8</f>
        <v>-64059.12</v>
      </c>
      <c r="F8" s="28">
        <f>E8</f>
        <v>-64059.12</v>
      </c>
      <c r="G8" s="28">
        <f>F8</f>
        <v>-64059.12</v>
      </c>
      <c r="I8" s="36">
        <f t="shared" si="1"/>
        <v>-320295.60000000003</v>
      </c>
      <c r="K8" s="38"/>
      <c r="L8" s="29"/>
      <c r="M8" s="33"/>
      <c r="N8" s="34"/>
      <c r="O8" s="34"/>
      <c r="P8" s="29"/>
      <c r="Q8" s="35"/>
      <c r="R8" s="33"/>
      <c r="S8" s="29"/>
    </row>
    <row r="9" spans="1:19" ht="12.75">
      <c r="A9" s="152" t="s">
        <v>129</v>
      </c>
      <c r="B9" s="27"/>
      <c r="C9" s="28"/>
      <c r="D9" s="28"/>
      <c r="E9" s="28"/>
      <c r="F9" s="28"/>
      <c r="G9" s="28"/>
      <c r="I9" s="36">
        <f t="shared" si="1"/>
        <v>0</v>
      </c>
      <c r="L9" s="29"/>
      <c r="M9" s="33"/>
      <c r="N9" s="34"/>
      <c r="O9" s="34"/>
      <c r="P9" s="29"/>
      <c r="Q9" s="35"/>
      <c r="R9" s="33"/>
      <c r="S9" s="29"/>
    </row>
    <row r="10" spans="1:19" ht="12.75">
      <c r="A10" s="152" t="s">
        <v>130</v>
      </c>
      <c r="B10" s="27"/>
      <c r="C10" s="28"/>
      <c r="D10" s="28"/>
      <c r="E10" s="28"/>
      <c r="F10" s="28"/>
      <c r="G10" s="28"/>
      <c r="I10" s="36">
        <f t="shared" si="1"/>
        <v>0</v>
      </c>
      <c r="L10" s="29"/>
      <c r="M10" s="33"/>
      <c r="N10" s="34"/>
      <c r="O10" s="34"/>
      <c r="P10" s="29"/>
      <c r="Q10" s="35"/>
      <c r="R10" s="33"/>
      <c r="S10" s="29"/>
    </row>
    <row r="11" spans="1:19" ht="12.75">
      <c r="A11" s="173"/>
      <c r="B11" s="30"/>
      <c r="C11" s="31"/>
      <c r="D11" s="31"/>
      <c r="E11" s="31"/>
      <c r="F11" s="31"/>
      <c r="G11" s="31"/>
      <c r="H11" s="24"/>
      <c r="I11" s="39">
        <f t="shared" si="1"/>
        <v>0</v>
      </c>
      <c r="J11" s="29"/>
      <c r="K11" s="29"/>
      <c r="L11" s="29"/>
      <c r="M11" s="33"/>
      <c r="N11" s="34"/>
      <c r="O11" s="34"/>
      <c r="P11" s="29"/>
      <c r="Q11" s="35"/>
      <c r="R11" s="33"/>
      <c r="S11" s="29"/>
    </row>
    <row r="12" spans="1:19" ht="12.75">
      <c r="A12" s="173" t="s">
        <v>131</v>
      </c>
      <c r="B12" s="31">
        <f>B6+B8+B9+B11+B10</f>
        <v>0</v>
      </c>
      <c r="C12" s="31">
        <f>Ferry_opercosts!D47/1000</f>
        <v>24748.182</v>
      </c>
      <c r="D12" s="31">
        <f>C12</f>
        <v>24748.182</v>
      </c>
      <c r="E12" s="31">
        <f>D12</f>
        <v>24748.182</v>
      </c>
      <c r="F12" s="31">
        <f>E12</f>
        <v>24748.182</v>
      </c>
      <c r="G12" s="31">
        <f>F12</f>
        <v>24748.182</v>
      </c>
      <c r="H12" s="24"/>
      <c r="I12" s="39">
        <f>SUM(I6:I11)</f>
        <v>145740.59999999998</v>
      </c>
      <c r="J12" s="40"/>
      <c r="K12" s="41"/>
      <c r="L12" s="29"/>
      <c r="M12" s="33"/>
      <c r="N12" s="34"/>
      <c r="O12" s="34"/>
      <c r="P12" s="29"/>
      <c r="Q12" s="35"/>
      <c r="R12" s="33"/>
      <c r="S12" s="29"/>
    </row>
    <row r="13" spans="1:19" ht="12.75">
      <c r="A13" s="152"/>
      <c r="B13" s="27"/>
      <c r="C13" s="28"/>
      <c r="D13" s="28"/>
      <c r="I13" s="42"/>
      <c r="J13" s="28"/>
      <c r="K13" s="28"/>
      <c r="L13" s="29"/>
      <c r="M13" s="33"/>
      <c r="N13" s="34"/>
      <c r="O13" s="34"/>
      <c r="P13" s="29"/>
      <c r="Q13" s="35"/>
      <c r="R13" s="33"/>
      <c r="S13" s="29"/>
    </row>
    <row r="14" spans="1:19" s="45" customFormat="1" ht="12.75">
      <c r="A14" s="152" t="s">
        <v>192</v>
      </c>
      <c r="B14" s="43"/>
      <c r="C14" s="44">
        <f>Ferry_opercosts!C22/10</f>
        <v>11000</v>
      </c>
      <c r="D14" s="44">
        <f>C14</f>
        <v>11000</v>
      </c>
      <c r="E14" s="44">
        <f>D14</f>
        <v>11000</v>
      </c>
      <c r="F14" s="44">
        <f>E14</f>
        <v>11000</v>
      </c>
      <c r="G14" s="44">
        <f>F14</f>
        <v>11000</v>
      </c>
      <c r="I14" s="46">
        <f>SUM(B14:F14)</f>
        <v>44000</v>
      </c>
      <c r="J14" s="47"/>
      <c r="K14" s="47"/>
      <c r="L14" s="29"/>
      <c r="M14" s="33"/>
      <c r="N14" s="34"/>
      <c r="O14" s="48"/>
      <c r="P14" s="29"/>
      <c r="Q14" s="35"/>
      <c r="R14" s="33"/>
      <c r="S14" s="47"/>
    </row>
    <row r="15" spans="1:19" s="45" customFormat="1" ht="12.75">
      <c r="A15" s="152"/>
      <c r="B15" s="43"/>
      <c r="C15" s="49"/>
      <c r="D15" s="49"/>
      <c r="E15" s="49"/>
      <c r="F15" s="49"/>
      <c r="G15" s="49"/>
      <c r="I15" s="46"/>
      <c r="J15" s="47"/>
      <c r="K15" s="47"/>
      <c r="L15" s="29"/>
      <c r="M15" s="33"/>
      <c r="N15" s="34"/>
      <c r="O15" s="48"/>
      <c r="P15" s="29"/>
      <c r="Q15" s="35"/>
      <c r="R15" s="33"/>
      <c r="S15" s="47"/>
    </row>
    <row r="16" spans="1:19" ht="12.75">
      <c r="A16" s="145" t="s">
        <v>132</v>
      </c>
      <c r="B16" s="50">
        <f>-Ferry_opercosts!C22</f>
        <v>-110000</v>
      </c>
      <c r="C16" s="28"/>
      <c r="D16" s="28"/>
      <c r="E16" s="28"/>
      <c r="F16" s="28"/>
      <c r="G16" s="28"/>
      <c r="I16" s="36">
        <f aca="true" t="shared" si="2" ref="I16:I21">SUM(B16:G16)</f>
        <v>-110000</v>
      </c>
      <c r="J16" s="29"/>
      <c r="K16" s="29"/>
      <c r="L16" s="29"/>
      <c r="M16" s="33"/>
      <c r="N16" s="34"/>
      <c r="O16" s="34"/>
      <c r="P16" s="29"/>
      <c r="Q16" s="35"/>
      <c r="R16" s="33"/>
      <c r="S16" s="29"/>
    </row>
    <row r="17" spans="1:19" ht="12.75">
      <c r="A17" s="145" t="s">
        <v>133</v>
      </c>
      <c r="B17" s="27"/>
      <c r="C17" s="28"/>
      <c r="D17" s="28"/>
      <c r="E17" s="28"/>
      <c r="F17" s="28"/>
      <c r="G17" s="28"/>
      <c r="I17" s="32">
        <f t="shared" si="2"/>
        <v>0</v>
      </c>
      <c r="J17" s="51"/>
      <c r="K17" s="40"/>
      <c r="L17" s="29"/>
      <c r="M17" s="33"/>
      <c r="N17" s="34"/>
      <c r="O17" s="34"/>
      <c r="P17" s="29"/>
      <c r="Q17" s="35"/>
      <c r="R17" s="33"/>
      <c r="S17" s="29"/>
    </row>
    <row r="18" spans="1:19" ht="12.75">
      <c r="A18" s="152"/>
      <c r="B18" s="27"/>
      <c r="C18" s="28"/>
      <c r="D18" s="28"/>
      <c r="E18" s="28"/>
      <c r="F18" s="28"/>
      <c r="G18" s="28"/>
      <c r="I18" s="32">
        <f t="shared" si="2"/>
        <v>0</v>
      </c>
      <c r="J18" s="29"/>
      <c r="K18" s="29"/>
      <c r="L18" s="29"/>
      <c r="M18" s="33"/>
      <c r="N18" s="34"/>
      <c r="O18" s="34"/>
      <c r="P18" s="29"/>
      <c r="Q18" s="35"/>
      <c r="R18" s="33"/>
      <c r="S18" s="29"/>
    </row>
    <row r="19" spans="1:19" ht="12.75">
      <c r="A19" s="152"/>
      <c r="B19" s="27"/>
      <c r="C19" s="28"/>
      <c r="D19" s="28"/>
      <c r="E19" s="28"/>
      <c r="F19" s="28"/>
      <c r="G19" s="28"/>
      <c r="I19" s="32">
        <f t="shared" si="2"/>
        <v>0</v>
      </c>
      <c r="J19" s="29"/>
      <c r="K19" s="52"/>
      <c r="L19" s="29"/>
      <c r="M19" s="33"/>
      <c r="N19" s="34"/>
      <c r="O19" s="34"/>
      <c r="P19" s="29"/>
      <c r="Q19" s="35"/>
      <c r="R19" s="33"/>
      <c r="S19" s="29"/>
    </row>
    <row r="20" spans="1:19" ht="12.75">
      <c r="A20" s="152"/>
      <c r="B20" s="27"/>
      <c r="C20" s="28"/>
      <c r="D20" s="28"/>
      <c r="E20" s="28"/>
      <c r="F20" s="28"/>
      <c r="G20" s="28"/>
      <c r="I20" s="32">
        <f t="shared" si="2"/>
        <v>0</v>
      </c>
      <c r="J20" s="29"/>
      <c r="K20" s="29"/>
      <c r="L20" s="29"/>
      <c r="M20" s="33"/>
      <c r="N20" s="34"/>
      <c r="O20" s="34"/>
      <c r="P20" s="29"/>
      <c r="Q20" s="35"/>
      <c r="R20" s="33"/>
      <c r="S20" s="29"/>
    </row>
    <row r="21" spans="1:19" ht="12.75">
      <c r="A21" s="152"/>
      <c r="B21" s="27"/>
      <c r="C21" s="28"/>
      <c r="D21" s="28"/>
      <c r="E21" s="28"/>
      <c r="F21" s="28"/>
      <c r="G21" s="28"/>
      <c r="I21" s="32">
        <f t="shared" si="2"/>
        <v>0</v>
      </c>
      <c r="J21" s="53"/>
      <c r="K21" s="29"/>
      <c r="L21" s="29"/>
      <c r="M21" s="33"/>
      <c r="N21" s="34"/>
      <c r="O21" s="34"/>
      <c r="P21" s="29"/>
      <c r="Q21" s="35"/>
      <c r="R21" s="33"/>
      <c r="S21" s="29"/>
    </row>
    <row r="22" spans="1:19" ht="12.75">
      <c r="A22" s="152"/>
      <c r="B22" s="27"/>
      <c r="C22" s="28"/>
      <c r="D22" s="28"/>
      <c r="E22" s="28"/>
      <c r="F22" s="28"/>
      <c r="G22" s="28"/>
      <c r="I22" s="32"/>
      <c r="J22" s="53"/>
      <c r="K22" s="29"/>
      <c r="L22" s="29"/>
      <c r="M22" s="33"/>
      <c r="N22" s="34"/>
      <c r="O22" s="34"/>
      <c r="P22" s="29"/>
      <c r="Q22" s="35"/>
      <c r="R22" s="33"/>
      <c r="S22" s="29"/>
    </row>
    <row r="23" spans="1:19" ht="19.5" customHeight="1" thickBot="1">
      <c r="A23" s="159" t="s">
        <v>134</v>
      </c>
      <c r="B23" s="69">
        <f aca="true" t="shared" si="3" ref="B23:G23">SUM(B12:B22)</f>
        <v>-110000</v>
      </c>
      <c r="C23" s="69">
        <f t="shared" si="3"/>
        <v>35748.182</v>
      </c>
      <c r="D23" s="69">
        <f t="shared" si="3"/>
        <v>35748.182</v>
      </c>
      <c r="E23" s="69">
        <f t="shared" si="3"/>
        <v>35748.182</v>
      </c>
      <c r="F23" s="69">
        <f t="shared" si="3"/>
        <v>35748.182</v>
      </c>
      <c r="G23" s="69">
        <f t="shared" si="3"/>
        <v>35748.182</v>
      </c>
      <c r="H23" s="70"/>
      <c r="I23" s="71">
        <f>SUM(B23:H23)</f>
        <v>68740.91</v>
      </c>
      <c r="J23" s="54"/>
      <c r="K23" s="55"/>
      <c r="L23" s="29"/>
      <c r="M23" s="33"/>
      <c r="N23" s="34"/>
      <c r="O23" s="34"/>
      <c r="P23" s="29"/>
      <c r="Q23" s="35"/>
      <c r="R23" s="33"/>
      <c r="S23" s="29"/>
    </row>
    <row r="24" spans="1:19" ht="13.5" thickTop="1">
      <c r="A24" s="165"/>
      <c r="B24" s="56"/>
      <c r="C24" s="57"/>
      <c r="D24" s="57"/>
      <c r="E24" s="57"/>
      <c r="F24" s="57"/>
      <c r="G24" s="57"/>
      <c r="I24" s="32"/>
      <c r="L24" s="29"/>
      <c r="M24" s="33"/>
      <c r="N24" s="34"/>
      <c r="O24" s="34"/>
      <c r="P24" s="29"/>
      <c r="Q24" s="35"/>
      <c r="R24" s="33"/>
      <c r="S24" s="29"/>
    </row>
    <row r="25" spans="1:19" ht="12.75">
      <c r="A25" s="174" t="s">
        <v>135</v>
      </c>
      <c r="B25" s="58">
        <v>1</v>
      </c>
      <c r="C25" s="59">
        <f>B25/(1+$I$25)</f>
        <v>0.9259259259259258</v>
      </c>
      <c r="D25" s="59">
        <f>C25/(1+$I$25)</f>
        <v>0.8573388203017831</v>
      </c>
      <c r="E25" s="59">
        <f>D25/(1+$I$25)</f>
        <v>0.7938322410201695</v>
      </c>
      <c r="F25" s="59">
        <f>E25/(1+$I$25)</f>
        <v>0.7350298527964532</v>
      </c>
      <c r="G25" s="59">
        <f>F25/(1+$I$25)</f>
        <v>0.6805831970337529</v>
      </c>
      <c r="I25" s="60">
        <v>0.08</v>
      </c>
      <c r="L25" s="29"/>
      <c r="M25" s="33"/>
      <c r="N25" s="34"/>
      <c r="O25" s="34"/>
      <c r="P25" s="29"/>
      <c r="Q25" s="35"/>
      <c r="R25" s="33"/>
      <c r="S25" s="29"/>
    </row>
    <row r="26" spans="1:19" ht="13.5" thickBot="1">
      <c r="A26" s="152" t="s">
        <v>161</v>
      </c>
      <c r="B26" s="57">
        <f aca="true" t="shared" si="4" ref="B26:G26">B25*B23</f>
        <v>-110000</v>
      </c>
      <c r="C26" s="57">
        <f t="shared" si="4"/>
        <v>33100.16851851851</v>
      </c>
      <c r="D26" s="57">
        <f t="shared" si="4"/>
        <v>30648.304183813438</v>
      </c>
      <c r="E26" s="57">
        <f t="shared" si="4"/>
        <v>28378.059429456884</v>
      </c>
      <c r="F26" s="57">
        <f t="shared" si="4"/>
        <v>26275.98095320082</v>
      </c>
      <c r="G26" s="57">
        <f t="shared" si="4"/>
        <v>24329.61199370446</v>
      </c>
      <c r="J26" s="32"/>
      <c r="L26" s="29"/>
      <c r="M26" s="33"/>
      <c r="N26" s="34"/>
      <c r="O26" s="34"/>
      <c r="P26" s="29"/>
      <c r="Q26" s="35"/>
      <c r="R26" s="33"/>
      <c r="S26" s="29"/>
    </row>
    <row r="27" spans="1:19" ht="13.5" thickBot="1">
      <c r="A27" s="152" t="s">
        <v>137</v>
      </c>
      <c r="B27" s="57">
        <f>B26</f>
        <v>-110000</v>
      </c>
      <c r="C27" s="57">
        <f>B27+C26</f>
        <v>-76899.8314814815</v>
      </c>
      <c r="D27" s="57">
        <f>C27+D26</f>
        <v>-46251.52729766806</v>
      </c>
      <c r="E27" s="57">
        <f>D27+E26</f>
        <v>-17873.467868211173</v>
      </c>
      <c r="F27" s="57">
        <f>E27+F26</f>
        <v>8402.513084989645</v>
      </c>
      <c r="G27" s="57">
        <f>F27+G26</f>
        <v>32732.125078694105</v>
      </c>
      <c r="I27" s="68">
        <f>G27</f>
        <v>32732.125078694105</v>
      </c>
      <c r="L27" s="29"/>
      <c r="M27" s="33"/>
      <c r="N27" s="34"/>
      <c r="O27" s="34"/>
      <c r="P27" s="29"/>
      <c r="Q27" s="35"/>
      <c r="R27" s="33"/>
      <c r="S27" s="29"/>
    </row>
    <row r="28" spans="1:19" ht="12.75">
      <c r="A28" s="152"/>
      <c r="B28" s="27"/>
      <c r="C28" s="57"/>
      <c r="D28" s="57"/>
      <c r="E28" s="57"/>
      <c r="F28" s="57"/>
      <c r="G28" s="57"/>
      <c r="L28" s="29"/>
      <c r="M28" s="33"/>
      <c r="N28" s="34"/>
      <c r="O28" s="34"/>
      <c r="P28" s="29"/>
      <c r="Q28" s="35"/>
      <c r="R28" s="33"/>
      <c r="S28" s="29"/>
    </row>
    <row r="29" spans="1:19" ht="12.75">
      <c r="A29" s="174" t="s">
        <v>159</v>
      </c>
      <c r="B29" s="58">
        <v>1</v>
      </c>
      <c r="C29" s="59">
        <f>B29/(1+$I$29)</f>
        <v>0.8928571428571428</v>
      </c>
      <c r="D29" s="59">
        <f>C29/(1+$I$29)</f>
        <v>0.7971938775510202</v>
      </c>
      <c r="E29" s="59">
        <f>D29/(1+$I$29)</f>
        <v>0.7117802478134109</v>
      </c>
      <c r="F29" s="59">
        <f>E29/(1+$I$29)</f>
        <v>0.6355180784048311</v>
      </c>
      <c r="G29" s="59">
        <f>F29/(1+$I$29)</f>
        <v>0.5674268557185992</v>
      </c>
      <c r="I29" s="60">
        <v>0.12</v>
      </c>
      <c r="L29" s="29"/>
      <c r="M29" s="33"/>
      <c r="N29" s="34"/>
      <c r="O29" s="34"/>
      <c r="P29" s="29"/>
      <c r="Q29" s="35"/>
      <c r="R29" s="33"/>
      <c r="S29" s="29"/>
    </row>
    <row r="30" spans="1:19" ht="13.5" thickBot="1">
      <c r="A30" s="152" t="s">
        <v>160</v>
      </c>
      <c r="B30" s="57">
        <f aca="true" t="shared" si="5" ref="B30:G30">B29*B23</f>
        <v>-110000</v>
      </c>
      <c r="C30" s="57">
        <f t="shared" si="5"/>
        <v>31918.01964285714</v>
      </c>
      <c r="D30" s="57">
        <f t="shared" si="5"/>
        <v>28498.231823979586</v>
      </c>
      <c r="E30" s="57">
        <f t="shared" si="5"/>
        <v>25444.849842838914</v>
      </c>
      <c r="F30" s="57">
        <f t="shared" si="5"/>
        <v>22718.61593110617</v>
      </c>
      <c r="G30" s="57">
        <f t="shared" si="5"/>
        <v>20284.478509916225</v>
      </c>
      <c r="L30" s="29"/>
      <c r="M30" s="33"/>
      <c r="N30" s="34"/>
      <c r="O30" s="34"/>
      <c r="P30" s="29"/>
      <c r="Q30" s="35"/>
      <c r="R30" s="33"/>
      <c r="S30" s="29"/>
    </row>
    <row r="31" spans="1:19" ht="13.5" thickBot="1">
      <c r="A31" s="152" t="s">
        <v>137</v>
      </c>
      <c r="B31" s="57">
        <f>B30</f>
        <v>-110000</v>
      </c>
      <c r="C31" s="57">
        <f>B31+C30</f>
        <v>-78081.98035714286</v>
      </c>
      <c r="D31" s="57">
        <f>C31+D30</f>
        <v>-49583.74853316328</v>
      </c>
      <c r="E31" s="57">
        <f>D31+E30</f>
        <v>-24138.898690324364</v>
      </c>
      <c r="F31" s="57">
        <f>E31+F30</f>
        <v>-1420.282759218193</v>
      </c>
      <c r="G31" s="57">
        <f>F31+G30</f>
        <v>18864.195750698032</v>
      </c>
      <c r="I31" s="68">
        <f>G31</f>
        <v>18864.195750698032</v>
      </c>
      <c r="L31" s="29"/>
      <c r="M31" s="33"/>
      <c r="N31" s="34"/>
      <c r="O31" s="34"/>
      <c r="P31" s="29"/>
      <c r="Q31" s="29"/>
      <c r="R31" s="29"/>
      <c r="S31" s="29"/>
    </row>
    <row r="32" spans="1:19" ht="13.5" thickBot="1">
      <c r="A32" s="173"/>
      <c r="B32" s="30"/>
      <c r="C32" s="61"/>
      <c r="D32" s="61"/>
      <c r="E32" s="61"/>
      <c r="F32" s="61"/>
      <c r="G32" s="61"/>
      <c r="H32" s="24"/>
      <c r="I32" s="62"/>
      <c r="L32" s="29"/>
      <c r="M32" s="29"/>
      <c r="N32" s="29"/>
      <c r="O32" s="29"/>
      <c r="P32" s="29"/>
      <c r="Q32" s="29"/>
      <c r="R32" s="33"/>
      <c r="S32" s="29"/>
    </row>
    <row r="33" spans="1:19" ht="16.5" hidden="1" thickBot="1">
      <c r="A33" s="152"/>
      <c r="B33" s="27"/>
      <c r="C33" s="57"/>
      <c r="D33" s="63"/>
      <c r="E33" s="63"/>
      <c r="F33" s="63"/>
      <c r="G33" s="63"/>
      <c r="H33" s="29"/>
      <c r="I33" s="29"/>
      <c r="L33" s="29"/>
      <c r="M33" s="29"/>
      <c r="N33" s="29"/>
      <c r="O33" s="29"/>
      <c r="P33" s="29"/>
      <c r="Q33" s="29"/>
      <c r="R33" s="29"/>
      <c r="S33" s="29"/>
    </row>
    <row r="34" spans="1:19" ht="12.75">
      <c r="A34" s="152"/>
      <c r="B34" s="27"/>
      <c r="C34" s="57"/>
      <c r="D34" s="57"/>
      <c r="E34" s="57"/>
      <c r="F34" s="57"/>
      <c r="G34" s="57"/>
      <c r="H34" s="29"/>
      <c r="I34" s="64" t="s">
        <v>33</v>
      </c>
      <c r="L34" s="29"/>
      <c r="M34" s="29"/>
      <c r="N34" s="29"/>
      <c r="O34" s="29"/>
      <c r="P34" s="29"/>
      <c r="Q34" s="29"/>
      <c r="R34" s="29"/>
      <c r="S34" s="29"/>
    </row>
    <row r="35" spans="1:19" ht="16.5" thickBot="1">
      <c r="A35" s="175" t="s">
        <v>33</v>
      </c>
      <c r="B35" s="56"/>
      <c r="C35" s="57"/>
      <c r="D35" s="57"/>
      <c r="E35" s="57"/>
      <c r="F35" s="57"/>
      <c r="G35" s="57"/>
      <c r="H35" s="29"/>
      <c r="I35" s="65">
        <f>IRR(B23:H23)</f>
        <v>0.18716619427207926</v>
      </c>
      <c r="L35" s="29"/>
      <c r="M35" s="29"/>
      <c r="N35" s="29"/>
      <c r="O35" s="29"/>
      <c r="P35" s="29"/>
      <c r="Q35" s="29"/>
      <c r="R35" s="29"/>
      <c r="S35" s="29"/>
    </row>
    <row r="36" spans="1:19" ht="12.75">
      <c r="A36" s="175" t="s">
        <v>140</v>
      </c>
      <c r="B36" s="56"/>
      <c r="C36" s="66"/>
      <c r="D36" s="66"/>
      <c r="E36" s="66"/>
      <c r="F36" s="66"/>
      <c r="G36" s="66"/>
      <c r="H36" s="52"/>
      <c r="I36" s="52">
        <f>ROUND(((-B23-SUM(C23:F23))/(G23/12))+60,0)</f>
        <v>49</v>
      </c>
      <c r="L36" s="29"/>
      <c r="M36" s="29"/>
      <c r="N36" s="29"/>
      <c r="O36" s="29"/>
      <c r="P36" s="29"/>
      <c r="Q36" s="29"/>
      <c r="R36" s="29"/>
      <c r="S36" s="29"/>
    </row>
    <row r="37" spans="1:9" ht="12.75">
      <c r="A37" s="175" t="s">
        <v>141</v>
      </c>
      <c r="B37" s="56"/>
      <c r="C37" s="66"/>
      <c r="D37" s="66"/>
      <c r="E37" s="66"/>
      <c r="F37" s="66"/>
      <c r="G37" s="66"/>
      <c r="H37" s="52"/>
      <c r="I37" s="52">
        <f>ROUND(I36/12,1)</f>
        <v>4.1</v>
      </c>
    </row>
    <row r="38" ht="12.75">
      <c r="E38" s="67"/>
    </row>
    <row r="40" ht="12.75">
      <c r="E40" s="67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80"/>
  <headerFooter alignWithMargins="0">
    <oddHeader>&amp;C&amp;F&amp;R]</oddHeader>
    <oddFooter>&amp;L&amp;6&amp;F   &amp;A  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zoomScale="150" zoomScaleNormal="150" zoomScalePageLayoutView="0" workbookViewId="0" topLeftCell="A1">
      <selection activeCell="C3" sqref="C3:C17"/>
    </sheetView>
  </sheetViews>
  <sheetFormatPr defaultColWidth="8.625" defaultRowHeight="12.75"/>
  <cols>
    <col min="1" max="1" width="10.125" style="0" customWidth="1"/>
    <col min="2" max="2" width="56.375" style="0" customWidth="1"/>
    <col min="3" max="3" width="24.50390625" style="0" customWidth="1"/>
    <col min="4" max="4" width="27.375" style="0" customWidth="1"/>
  </cols>
  <sheetData>
    <row r="1" spans="1:5" ht="24.75" customHeight="1">
      <c r="A1" s="97"/>
      <c r="B1" s="98" t="s">
        <v>162</v>
      </c>
      <c r="C1" s="184" t="s">
        <v>203</v>
      </c>
      <c r="D1" s="184"/>
      <c r="E1" s="96"/>
    </row>
    <row r="2" spans="1:5" ht="15.75">
      <c r="A2" s="100" t="s">
        <v>0</v>
      </c>
      <c r="B2" s="100" t="s">
        <v>124</v>
      </c>
      <c r="C2" s="100" t="s">
        <v>164</v>
      </c>
      <c r="D2" s="100" t="s">
        <v>165</v>
      </c>
      <c r="E2" s="96"/>
    </row>
    <row r="3" spans="1:5" ht="15.75">
      <c r="A3" s="97">
        <v>1</v>
      </c>
      <c r="B3" s="97" t="s">
        <v>193</v>
      </c>
      <c r="C3" s="97" t="s">
        <v>36</v>
      </c>
      <c r="D3" s="101">
        <v>3495000</v>
      </c>
      <c r="E3" s="96"/>
    </row>
    <row r="4" spans="1:5" ht="15.75">
      <c r="A4" s="97">
        <v>2</v>
      </c>
      <c r="B4" s="97" t="s">
        <v>167</v>
      </c>
      <c r="C4" s="97" t="s">
        <v>170</v>
      </c>
      <c r="D4" s="101">
        <v>48</v>
      </c>
      <c r="E4" s="96"/>
    </row>
    <row r="5" spans="1:7" ht="15.75">
      <c r="A5" s="97">
        <v>3</v>
      </c>
      <c r="B5" s="97" t="s">
        <v>194</v>
      </c>
      <c r="C5" s="97" t="s">
        <v>195</v>
      </c>
      <c r="D5" s="101">
        <f>266*1.852</f>
        <v>492.632</v>
      </c>
      <c r="E5" s="96"/>
      <c r="F5" s="96"/>
      <c r="G5" s="96"/>
    </row>
    <row r="6" spans="1:5" ht="15.75">
      <c r="A6" s="97">
        <v>4</v>
      </c>
      <c r="B6" s="97" t="s">
        <v>196</v>
      </c>
      <c r="C6" s="97" t="s">
        <v>170</v>
      </c>
      <c r="D6" s="101">
        <v>4</v>
      </c>
      <c r="E6" s="96"/>
    </row>
    <row r="7" spans="1:5" ht="15.75">
      <c r="A7" s="97">
        <v>5</v>
      </c>
      <c r="B7" s="97" t="s">
        <v>172</v>
      </c>
      <c r="C7" s="97" t="s">
        <v>197</v>
      </c>
      <c r="D7" s="101"/>
      <c r="E7" s="96"/>
    </row>
    <row r="8" spans="1:5" ht="15.75">
      <c r="A8" s="97">
        <v>6</v>
      </c>
      <c r="B8" s="97" t="s">
        <v>198</v>
      </c>
      <c r="C8" s="97" t="s">
        <v>187</v>
      </c>
      <c r="D8" s="101">
        <v>749</v>
      </c>
      <c r="E8" s="96"/>
    </row>
    <row r="9" spans="1:5" ht="15.75">
      <c r="A9" s="97">
        <v>7</v>
      </c>
      <c r="B9" s="102" t="s">
        <v>199</v>
      </c>
      <c r="C9" s="97" t="s">
        <v>68</v>
      </c>
      <c r="D9" s="101">
        <v>198606</v>
      </c>
      <c r="E9" s="96"/>
    </row>
    <row r="10" spans="1:5" ht="15.75">
      <c r="A10" s="97">
        <v>8</v>
      </c>
      <c r="B10" s="102" t="s">
        <v>200</v>
      </c>
      <c r="C10" s="97" t="s">
        <v>68</v>
      </c>
      <c r="D10" s="101">
        <v>144900</v>
      </c>
      <c r="E10" s="96"/>
    </row>
    <row r="11" spans="1:5" ht="15.75">
      <c r="A11" s="97">
        <v>9</v>
      </c>
      <c r="B11" s="97" t="s">
        <v>201</v>
      </c>
      <c r="C11" s="97" t="s">
        <v>68</v>
      </c>
      <c r="D11" s="101">
        <v>50700</v>
      </c>
      <c r="E11" s="96"/>
    </row>
    <row r="12" spans="1:5" ht="15.75">
      <c r="A12" s="97">
        <v>10</v>
      </c>
      <c r="B12" s="176" t="s">
        <v>73</v>
      </c>
      <c r="C12" s="97" t="s">
        <v>68</v>
      </c>
      <c r="D12" s="101">
        <v>219315</v>
      </c>
      <c r="E12" s="96"/>
    </row>
    <row r="13" spans="1:5" ht="15.75">
      <c r="A13" s="97">
        <v>11</v>
      </c>
      <c r="B13" s="97" t="s">
        <v>105</v>
      </c>
      <c r="C13" s="97" t="s">
        <v>68</v>
      </c>
      <c r="D13" s="101">
        <v>38300</v>
      </c>
      <c r="E13" s="96"/>
    </row>
    <row r="14" spans="1:5" ht="15.75">
      <c r="A14" s="97">
        <v>12</v>
      </c>
      <c r="B14" s="97" t="s">
        <v>202</v>
      </c>
      <c r="C14" s="97" t="s">
        <v>68</v>
      </c>
      <c r="D14" s="101">
        <v>68000</v>
      </c>
      <c r="E14" s="96"/>
    </row>
    <row r="15" spans="1:5" ht="15.75">
      <c r="A15" s="97">
        <v>13</v>
      </c>
      <c r="B15" s="97" t="s">
        <v>114</v>
      </c>
      <c r="C15" s="97" t="s">
        <v>68</v>
      </c>
      <c r="D15" s="101">
        <v>30250</v>
      </c>
      <c r="E15" s="96"/>
    </row>
    <row r="16" spans="1:5" ht="15.75">
      <c r="A16" s="97">
        <v>14</v>
      </c>
      <c r="B16" s="97" t="s">
        <v>191</v>
      </c>
      <c r="C16" s="97" t="s">
        <v>68</v>
      </c>
      <c r="D16" s="101">
        <v>7500</v>
      </c>
      <c r="E16" s="96"/>
    </row>
    <row r="17" spans="1:5" ht="15.75">
      <c r="A17" s="96">
        <v>15</v>
      </c>
      <c r="B17" s="97" t="s">
        <v>74</v>
      </c>
      <c r="C17" s="97" t="s">
        <v>68</v>
      </c>
      <c r="D17" s="101">
        <v>174750</v>
      </c>
      <c r="E17" s="96"/>
    </row>
    <row r="18" spans="1:5" ht="15.75">
      <c r="A18" s="96"/>
      <c r="B18" s="96"/>
      <c r="C18" s="96"/>
      <c r="D18" s="96"/>
      <c r="E18" s="96"/>
    </row>
    <row r="19" spans="1:5" ht="15.75">
      <c r="A19" s="96"/>
      <c r="B19" s="96"/>
      <c r="C19" s="96"/>
      <c r="D19" s="96"/>
      <c r="E19" s="96"/>
    </row>
    <row r="20" spans="1:5" ht="15.75">
      <c r="A20" s="96"/>
      <c r="B20" s="96"/>
      <c r="C20" s="96"/>
      <c r="D20" s="96"/>
      <c r="E20" s="96"/>
    </row>
    <row r="21" spans="1:5" ht="15.75">
      <c r="A21" s="96"/>
      <c r="B21" s="96"/>
      <c r="C21" s="96"/>
      <c r="D21" s="96"/>
      <c r="E21" s="96"/>
    </row>
    <row r="22" spans="1:5" ht="15.75">
      <c r="A22" s="96"/>
      <c r="B22" s="96"/>
      <c r="C22" s="96"/>
      <c r="D22" s="96"/>
      <c r="E22" s="96"/>
    </row>
    <row r="23" spans="1:5" ht="15.75">
      <c r="A23" s="96"/>
      <c r="B23" s="96"/>
      <c r="C23" s="96"/>
      <c r="D23" s="96"/>
      <c r="E23" s="96"/>
    </row>
    <row r="24" spans="1:5" ht="15.75">
      <c r="A24" s="96"/>
      <c r="B24" s="96"/>
      <c r="C24" s="96"/>
      <c r="D24" s="96"/>
      <c r="E24" s="96"/>
    </row>
    <row r="25" spans="1:5" ht="15.75">
      <c r="A25" s="96"/>
      <c r="B25" s="96"/>
      <c r="C25" s="96"/>
      <c r="D25" s="96"/>
      <c r="E25" s="96"/>
    </row>
    <row r="26" spans="1:5" ht="15.75">
      <c r="A26" s="96"/>
      <c r="B26" s="96"/>
      <c r="C26" s="96"/>
      <c r="D26" s="96"/>
      <c r="E26" s="96"/>
    </row>
    <row r="27" spans="1:5" ht="15.75">
      <c r="A27" s="96"/>
      <c r="B27" s="96"/>
      <c r="C27" s="96"/>
      <c r="D27" s="96"/>
      <c r="E27" s="96"/>
    </row>
    <row r="28" spans="1:5" ht="15.75">
      <c r="A28" s="96"/>
      <c r="B28" s="96"/>
      <c r="C28" s="96"/>
      <c r="D28" s="96"/>
      <c r="E28" s="96"/>
    </row>
    <row r="29" spans="1:5" ht="15.75">
      <c r="A29" s="96"/>
      <c r="B29" s="96"/>
      <c r="C29" s="96"/>
      <c r="D29" s="96"/>
      <c r="E29" s="96"/>
    </row>
    <row r="30" spans="1:5" ht="15.75">
      <c r="A30" s="96"/>
      <c r="B30" s="96"/>
      <c r="C30" s="96"/>
      <c r="D30" s="96"/>
      <c r="E30" s="96"/>
    </row>
    <row r="31" spans="1:5" ht="15.75">
      <c r="A31" s="96"/>
      <c r="B31" s="96"/>
      <c r="C31" s="96"/>
      <c r="D31" s="96"/>
      <c r="E31" s="96"/>
    </row>
    <row r="32" spans="1:5" ht="15.75">
      <c r="A32" s="96"/>
      <c r="B32" s="96"/>
      <c r="C32" s="96"/>
      <c r="D32" s="96"/>
      <c r="E32" s="96"/>
    </row>
    <row r="33" spans="1:5" ht="15.75">
      <c r="A33" s="96"/>
      <c r="B33" s="96"/>
      <c r="C33" s="96"/>
      <c r="D33" s="96"/>
      <c r="E33" s="96"/>
    </row>
    <row r="34" spans="1:5" ht="15.75">
      <c r="A34" s="96"/>
      <c r="B34" s="96"/>
      <c r="C34" s="96"/>
      <c r="D34" s="96"/>
      <c r="E34" s="96"/>
    </row>
    <row r="35" spans="1:5" ht="15.75">
      <c r="A35" s="96"/>
      <c r="B35" s="96"/>
      <c r="C35" s="96"/>
      <c r="D35" s="96"/>
      <c r="E35" s="96"/>
    </row>
    <row r="36" spans="1:5" ht="15.75">
      <c r="A36" s="96"/>
      <c r="B36" s="96"/>
      <c r="C36" s="96"/>
      <c r="D36" s="96"/>
      <c r="E36" s="96"/>
    </row>
    <row r="37" spans="1:5" ht="15.75">
      <c r="A37" s="96"/>
      <c r="B37" s="96"/>
      <c r="C37" s="96"/>
      <c r="D37" s="96"/>
      <c r="E37" s="96"/>
    </row>
    <row r="38" spans="1:5" ht="15.75">
      <c r="A38" s="96"/>
      <c r="B38" s="96"/>
      <c r="C38" s="96"/>
      <c r="D38" s="96"/>
      <c r="E38" s="96"/>
    </row>
    <row r="39" spans="1:5" ht="15.75">
      <c r="A39" s="96"/>
      <c r="B39" s="96"/>
      <c r="C39" s="96"/>
      <c r="D39" s="96"/>
      <c r="E39" s="96"/>
    </row>
    <row r="40" spans="1:5" ht="15.75">
      <c r="A40" s="96"/>
      <c r="B40" s="96"/>
      <c r="C40" s="96"/>
      <c r="D40" s="96"/>
      <c r="E40" s="96"/>
    </row>
    <row r="41" ht="15.75">
      <c r="E41" s="96"/>
    </row>
    <row r="42" ht="15.75">
      <c r="E42" s="96"/>
    </row>
    <row r="43" ht="15.75">
      <c r="E43" s="96"/>
    </row>
    <row r="44" ht="15.75">
      <c r="E44" s="96"/>
    </row>
    <row r="45" ht="15.75">
      <c r="E45" s="96"/>
    </row>
    <row r="46" ht="15.75">
      <c r="E46" s="96"/>
    </row>
    <row r="47" ht="15.75">
      <c r="E47" s="96"/>
    </row>
    <row r="48" ht="15.75">
      <c r="E48" s="96"/>
    </row>
    <row r="49" ht="15.75">
      <c r="E49" s="96"/>
    </row>
    <row r="50" ht="15.75">
      <c r="E50" s="96"/>
    </row>
    <row r="51" ht="15.75">
      <c r="E51" s="96"/>
    </row>
  </sheetData>
  <sheetProtection/>
  <mergeCells count="1">
    <mergeCell ref="C1:D1"/>
  </mergeCells>
  <printOptions/>
  <pageMargins left="0.75" right="0.75" top="1" bottom="1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"/>
  <sheetViews>
    <sheetView zoomScale="200" zoomScaleNormal="200" zoomScalePageLayoutView="0" workbookViewId="0" topLeftCell="A40">
      <selection activeCell="B29" sqref="B29"/>
    </sheetView>
  </sheetViews>
  <sheetFormatPr defaultColWidth="11.00390625" defaultRowHeight="12.75"/>
  <cols>
    <col min="1" max="1" width="3.625" style="1" customWidth="1"/>
    <col min="2" max="2" width="61.50390625" style="1" customWidth="1"/>
    <col min="3" max="3" width="11.50390625" style="1" customWidth="1"/>
    <col min="4" max="4" width="11.125" style="1" customWidth="1"/>
    <col min="5" max="16384" width="11.00390625" style="1" customWidth="1"/>
  </cols>
  <sheetData>
    <row r="1" ht="12">
      <c r="D1" s="13"/>
    </row>
    <row r="2" spans="1:4" ht="12.75" customHeight="1">
      <c r="A2" s="181" t="s">
        <v>40</v>
      </c>
      <c r="B2" s="181"/>
      <c r="C2" s="182" t="s">
        <v>55</v>
      </c>
      <c r="D2" s="182"/>
    </row>
    <row r="3" spans="2:3" ht="12">
      <c r="B3" s="183" t="s">
        <v>97</v>
      </c>
      <c r="C3" s="183"/>
    </row>
    <row r="4" spans="2:3" ht="12">
      <c r="B4" s="183" t="s">
        <v>98</v>
      </c>
      <c r="C4" s="183"/>
    </row>
    <row r="5" spans="1:4" s="5" customFormat="1" ht="12">
      <c r="A5" s="2" t="s">
        <v>0</v>
      </c>
      <c r="B5" s="3" t="s">
        <v>96</v>
      </c>
      <c r="C5" s="4" t="s">
        <v>99</v>
      </c>
      <c r="D5" s="19" t="s">
        <v>36</v>
      </c>
    </row>
    <row r="6" spans="1:4" ht="12">
      <c r="A6" s="6" t="s">
        <v>1</v>
      </c>
      <c r="B6" s="3" t="s">
        <v>45</v>
      </c>
      <c r="C6" s="7">
        <v>80</v>
      </c>
      <c r="D6" s="72"/>
    </row>
    <row r="7" spans="1:4" ht="12">
      <c r="A7" s="6" t="s">
        <v>2</v>
      </c>
      <c r="B7" s="3" t="s">
        <v>100</v>
      </c>
      <c r="C7" s="7">
        <v>493</v>
      </c>
      <c r="D7" s="72"/>
    </row>
    <row r="8" spans="1:4" ht="12">
      <c r="A8" s="6" t="s">
        <v>3</v>
      </c>
      <c r="B8" s="3" t="s">
        <v>101</v>
      </c>
      <c r="C8" s="7">
        <v>749</v>
      </c>
      <c r="D8" s="72"/>
    </row>
    <row r="9" spans="1:4" ht="12">
      <c r="A9" s="6" t="s">
        <v>4</v>
      </c>
      <c r="B9" s="3" t="s">
        <v>108</v>
      </c>
      <c r="C9" s="103">
        <v>3.99</v>
      </c>
      <c r="D9" s="72"/>
    </row>
    <row r="10" spans="1:4" ht="12">
      <c r="A10" s="6" t="s">
        <v>5</v>
      </c>
      <c r="B10" s="3" t="s">
        <v>52</v>
      </c>
      <c r="C10" s="7">
        <v>0.5</v>
      </c>
      <c r="D10" s="72"/>
    </row>
    <row r="11" spans="1:4" ht="12">
      <c r="A11" s="6" t="s">
        <v>6</v>
      </c>
      <c r="B11" s="3" t="s">
        <v>53</v>
      </c>
      <c r="C11" s="8">
        <v>1</v>
      </c>
      <c r="D11" s="72"/>
    </row>
    <row r="12" spans="1:4" ht="12">
      <c r="A12" s="6" t="s">
        <v>7</v>
      </c>
      <c r="B12" s="3" t="s">
        <v>54</v>
      </c>
      <c r="C12" s="8">
        <v>4</v>
      </c>
      <c r="D12" s="72"/>
    </row>
    <row r="13" spans="1:4" s="10" customFormat="1" ht="12">
      <c r="A13" s="3" t="s">
        <v>109</v>
      </c>
      <c r="B13" s="3" t="s">
        <v>65</v>
      </c>
      <c r="C13" s="8">
        <v>48</v>
      </c>
      <c r="D13" s="72"/>
    </row>
    <row r="14" spans="1:4" s="10" customFormat="1" ht="12">
      <c r="A14" s="9" t="s">
        <v>9</v>
      </c>
      <c r="B14" s="11" t="s">
        <v>56</v>
      </c>
      <c r="C14" s="17">
        <v>166</v>
      </c>
      <c r="D14" s="20"/>
    </row>
    <row r="15" spans="1:4" s="10" customFormat="1" ht="12">
      <c r="A15" s="9" t="s">
        <v>16</v>
      </c>
      <c r="B15" s="3" t="s">
        <v>57</v>
      </c>
      <c r="C15" s="7">
        <v>28</v>
      </c>
      <c r="D15" s="16"/>
    </row>
    <row r="16" spans="1:4" s="10" customFormat="1" ht="12">
      <c r="A16" s="9" t="s">
        <v>17</v>
      </c>
      <c r="B16" s="3" t="s">
        <v>58</v>
      </c>
      <c r="C16" s="7">
        <v>12</v>
      </c>
      <c r="D16" s="16"/>
    </row>
    <row r="17" spans="1:4" s="10" customFormat="1" ht="12">
      <c r="A17" s="9" t="s">
        <v>23</v>
      </c>
      <c r="B17" s="3" t="s">
        <v>59</v>
      </c>
      <c r="C17" s="7">
        <f>C15*C11</f>
        <v>28</v>
      </c>
      <c r="D17" s="16"/>
    </row>
    <row r="18" spans="1:4" s="10" customFormat="1" ht="12">
      <c r="A18" s="9" t="s">
        <v>30</v>
      </c>
      <c r="B18" s="3" t="s">
        <v>102</v>
      </c>
      <c r="C18" s="7">
        <v>1</v>
      </c>
      <c r="D18" s="16"/>
    </row>
    <row r="19" spans="1:4" s="10" customFormat="1" ht="12">
      <c r="A19" s="9" t="s">
        <v>31</v>
      </c>
      <c r="B19" s="3" t="s">
        <v>103</v>
      </c>
      <c r="C19" s="7">
        <v>3495</v>
      </c>
      <c r="D19" s="16"/>
    </row>
    <row r="20" spans="1:4" s="10" customFormat="1" ht="12">
      <c r="A20" s="9" t="s">
        <v>32</v>
      </c>
      <c r="B20" s="11" t="s">
        <v>62</v>
      </c>
      <c r="C20" s="7">
        <f>C11*C13</f>
        <v>48</v>
      </c>
      <c r="D20" s="16"/>
    </row>
    <row r="21" spans="1:4" s="10" customFormat="1" ht="12">
      <c r="A21" s="9"/>
      <c r="B21" s="3" t="s">
        <v>64</v>
      </c>
      <c r="C21" s="7">
        <f>C20*C15</f>
        <v>1344</v>
      </c>
      <c r="D21" s="16"/>
    </row>
    <row r="22" spans="1:4" s="10" customFormat="1" ht="12">
      <c r="A22" s="9"/>
      <c r="B22" s="3" t="s">
        <v>63</v>
      </c>
      <c r="C22" s="7"/>
      <c r="D22" s="17">
        <f>C21*11</f>
        <v>14784</v>
      </c>
    </row>
    <row r="23" spans="1:4" s="10" customFormat="1" ht="12">
      <c r="A23" s="9"/>
      <c r="B23" s="3"/>
      <c r="C23" s="7"/>
      <c r="D23" s="16"/>
    </row>
    <row r="24" spans="1:4" s="10" customFormat="1" ht="12">
      <c r="A24" s="9"/>
      <c r="B24" s="11" t="s">
        <v>66</v>
      </c>
      <c r="C24" s="14" t="s">
        <v>67</v>
      </c>
      <c r="D24" s="17" t="s">
        <v>68</v>
      </c>
    </row>
    <row r="25" spans="1:4" s="10" customFormat="1" ht="12">
      <c r="A25" s="9" t="s">
        <v>10</v>
      </c>
      <c r="B25" s="3" t="s">
        <v>69</v>
      </c>
      <c r="C25" s="73">
        <f>C8*C10</f>
        <v>374.5</v>
      </c>
      <c r="D25" s="74">
        <f>C25*$C$17*$C$16</f>
        <v>125832</v>
      </c>
    </row>
    <row r="26" spans="1:4" s="10" customFormat="1" ht="12">
      <c r="A26" s="9" t="s">
        <v>11</v>
      </c>
      <c r="B26" s="3" t="s">
        <v>70</v>
      </c>
      <c r="C26" s="73">
        <f>(198606+144900)/(C17*C16)</f>
        <v>1022.3392857142857</v>
      </c>
      <c r="D26" s="74">
        <f aca="true" t="shared" si="0" ref="D26:D36">C26*$C$17*$C$16</f>
        <v>343506</v>
      </c>
    </row>
    <row r="27" spans="1:4" s="10" customFormat="1" ht="12">
      <c r="A27" s="9" t="s">
        <v>12</v>
      </c>
      <c r="B27" s="3" t="s">
        <v>104</v>
      </c>
      <c r="C27" s="73">
        <f>18.6*(14+10.7)+(2.9*C20)+(18.6*(14+10.7))*0.15</f>
        <v>667.533</v>
      </c>
      <c r="D27" s="74">
        <f t="shared" si="0"/>
        <v>224291.088</v>
      </c>
    </row>
    <row r="28" spans="1:4" ht="12">
      <c r="A28" s="6" t="s">
        <v>13</v>
      </c>
      <c r="B28" s="3" t="s">
        <v>72</v>
      </c>
      <c r="C28" s="73">
        <f>50700/(C17*C16)</f>
        <v>150.89285714285714</v>
      </c>
      <c r="D28" s="74">
        <f t="shared" si="0"/>
        <v>50700</v>
      </c>
    </row>
    <row r="29" spans="1:4" ht="12">
      <c r="A29" s="6" t="s">
        <v>14</v>
      </c>
      <c r="B29" s="3" t="s">
        <v>73</v>
      </c>
      <c r="C29" s="75">
        <f>219315/(C16*C17)</f>
        <v>652.7232142857143</v>
      </c>
      <c r="D29" s="74">
        <f t="shared" si="0"/>
        <v>219315</v>
      </c>
    </row>
    <row r="30" spans="1:4" ht="12">
      <c r="A30" s="6" t="s">
        <v>15</v>
      </c>
      <c r="B30" s="3" t="s">
        <v>74</v>
      </c>
      <c r="C30" s="73">
        <f>174750/(C17*C16)</f>
        <v>520.0892857142857</v>
      </c>
      <c r="D30" s="74">
        <f t="shared" si="0"/>
        <v>174749.99999999997</v>
      </c>
    </row>
    <row r="31" spans="1:4" ht="12">
      <c r="A31" s="6" t="s">
        <v>18</v>
      </c>
      <c r="B31" s="3" t="s">
        <v>105</v>
      </c>
      <c r="C31" s="73">
        <f>38300/(C17*C16)</f>
        <v>113.98809523809524</v>
      </c>
      <c r="D31" s="74">
        <f t="shared" si="0"/>
        <v>38300</v>
      </c>
    </row>
    <row r="32" spans="1:4" ht="12">
      <c r="A32" s="6" t="s">
        <v>19</v>
      </c>
      <c r="B32" s="3" t="s">
        <v>106</v>
      </c>
      <c r="C32" s="75">
        <f>(30250+68000)/(C16*C17)</f>
        <v>292.4107142857143</v>
      </c>
      <c r="D32" s="74">
        <f t="shared" si="0"/>
        <v>98250</v>
      </c>
    </row>
    <row r="33" spans="1:4" ht="12">
      <c r="A33" s="6" t="s">
        <v>20</v>
      </c>
      <c r="B33" s="3" t="s">
        <v>107</v>
      </c>
      <c r="C33" s="75">
        <f>7500/(C16*C17)</f>
        <v>22.321428571428573</v>
      </c>
      <c r="D33" s="74">
        <f t="shared" si="0"/>
        <v>7500</v>
      </c>
    </row>
    <row r="34" spans="1:4" ht="12">
      <c r="A34" s="6" t="s">
        <v>21</v>
      </c>
      <c r="B34" s="11" t="s">
        <v>78</v>
      </c>
      <c r="C34" s="76">
        <f>SUM(C25:C33)</f>
        <v>3816.797880952381</v>
      </c>
      <c r="D34" s="74">
        <f t="shared" si="0"/>
        <v>1282444.088</v>
      </c>
    </row>
    <row r="35" spans="1:4" ht="12">
      <c r="A35" s="6" t="s">
        <v>22</v>
      </c>
      <c r="B35" s="3" t="s">
        <v>79</v>
      </c>
      <c r="C35" s="75">
        <f>C34*20%</f>
        <v>763.3595761904762</v>
      </c>
      <c r="D35" s="74">
        <f t="shared" si="0"/>
        <v>256488.8176</v>
      </c>
    </row>
    <row r="36" spans="1:4" ht="12">
      <c r="A36" s="6" t="s">
        <v>29</v>
      </c>
      <c r="B36" s="11" t="s">
        <v>80</v>
      </c>
      <c r="C36" s="77">
        <f>C34+C35</f>
        <v>4580.157457142857</v>
      </c>
      <c r="D36" s="74">
        <f t="shared" si="0"/>
        <v>1538932.9056000002</v>
      </c>
    </row>
    <row r="37" spans="1:4" ht="12">
      <c r="A37" s="6"/>
      <c r="B37" s="11"/>
      <c r="C37" s="12"/>
      <c r="D37" s="2"/>
    </row>
    <row r="38" spans="1:4" ht="12">
      <c r="A38" s="6"/>
      <c r="B38" s="11" t="s">
        <v>81</v>
      </c>
      <c r="C38" s="143" t="s">
        <v>67</v>
      </c>
      <c r="D38" s="144" t="s">
        <v>68</v>
      </c>
    </row>
    <row r="39" spans="1:4" ht="12">
      <c r="A39" s="6" t="s">
        <v>24</v>
      </c>
      <c r="B39" s="3" t="s">
        <v>88</v>
      </c>
      <c r="C39" s="75">
        <f>C14*C13</f>
        <v>7968</v>
      </c>
      <c r="D39" s="78">
        <f>C39*C17*C16</f>
        <v>2677248</v>
      </c>
    </row>
    <row r="40" spans="1:4" ht="12">
      <c r="A40" s="6" t="s">
        <v>25</v>
      </c>
      <c r="B40" s="3" t="s">
        <v>82</v>
      </c>
      <c r="C40" s="75">
        <f>C39-C36</f>
        <v>3387.8425428571427</v>
      </c>
      <c r="D40" s="75">
        <f>D39-D36</f>
        <v>1138315.0943999998</v>
      </c>
    </row>
    <row r="41" spans="1:4" ht="12">
      <c r="A41" s="6"/>
      <c r="B41" s="3" t="s">
        <v>85</v>
      </c>
      <c r="C41" s="79">
        <f>C40/C36*100</f>
        <v>73.96781823676666</v>
      </c>
      <c r="D41" s="78"/>
    </row>
    <row r="42" spans="1:4" ht="12">
      <c r="A42" s="6" t="s">
        <v>26</v>
      </c>
      <c r="B42" s="3" t="s">
        <v>86</v>
      </c>
      <c r="C42" s="75">
        <f>C40*15%</f>
        <v>508.1763814285714</v>
      </c>
      <c r="D42" s="75">
        <f>D40*15%</f>
        <v>170747.26415999996</v>
      </c>
    </row>
    <row r="43" spans="1:4" ht="12">
      <c r="A43" s="6" t="s">
        <v>27</v>
      </c>
      <c r="B43" s="3" t="s">
        <v>87</v>
      </c>
      <c r="C43" s="75">
        <f>240*1.4</f>
        <v>336</v>
      </c>
      <c r="D43" s="75">
        <f>240*1.4*C17*11/C16</f>
        <v>8624</v>
      </c>
    </row>
    <row r="44" spans="1:4" ht="12">
      <c r="A44" s="6" t="s">
        <v>28</v>
      </c>
      <c r="B44" s="3" t="s">
        <v>89</v>
      </c>
      <c r="C44" s="75">
        <f>C40-C42-C43</f>
        <v>2543.6661614285713</v>
      </c>
      <c r="D44" s="79">
        <f>D40-D42-D43</f>
        <v>958943.8302399998</v>
      </c>
    </row>
    <row r="45" spans="1:4" ht="12">
      <c r="A45" s="6"/>
      <c r="B45" s="11" t="s">
        <v>90</v>
      </c>
      <c r="C45" s="77">
        <f>C44/C36*100</f>
        <v>55.53665316596632</v>
      </c>
      <c r="D45" s="78"/>
    </row>
    <row r="46" spans="1:4" ht="12">
      <c r="A46" s="6"/>
      <c r="B46" s="11"/>
      <c r="C46" s="77"/>
      <c r="D46" s="78"/>
    </row>
    <row r="47" spans="1:4" ht="12">
      <c r="A47" s="6"/>
      <c r="B47" s="11" t="s">
        <v>91</v>
      </c>
      <c r="C47" s="15" t="s">
        <v>35</v>
      </c>
      <c r="D47" s="18" t="s">
        <v>35</v>
      </c>
    </row>
    <row r="48" spans="1:4" ht="12">
      <c r="A48" s="6"/>
      <c r="B48" s="3" t="s">
        <v>92</v>
      </c>
      <c r="C48" s="76">
        <f>C40*C17</f>
        <v>94859.5912</v>
      </c>
      <c r="D48" s="80">
        <f>C48/$C$16</f>
        <v>7904.965933333333</v>
      </c>
    </row>
    <row r="49" spans="1:4" ht="12">
      <c r="A49" s="6"/>
      <c r="B49" s="3" t="s">
        <v>93</v>
      </c>
      <c r="C49" s="76">
        <f>C44*C17</f>
        <v>71222.65252</v>
      </c>
      <c r="D49" s="80">
        <f>C49/$C$16</f>
        <v>5935.221043333334</v>
      </c>
    </row>
    <row r="50" spans="1:4" ht="12">
      <c r="A50" s="6"/>
      <c r="B50" s="3" t="s">
        <v>94</v>
      </c>
      <c r="C50" s="81">
        <f>C48*11</f>
        <v>1043455.5031999999</v>
      </c>
      <c r="D50" s="80">
        <f>C50/$C$16</f>
        <v>86954.62526666666</v>
      </c>
    </row>
    <row r="51" spans="2:4" ht="12">
      <c r="B51" s="3" t="s">
        <v>95</v>
      </c>
      <c r="C51" s="81">
        <f>C49*11</f>
        <v>783449.17772</v>
      </c>
      <c r="D51" s="80">
        <f>C51/$C$16</f>
        <v>65287.43147666667</v>
      </c>
    </row>
    <row r="53" spans="2:4" ht="15.75">
      <c r="B53" s="21"/>
      <c r="C53" s="22"/>
      <c r="D53" s="22"/>
    </row>
  </sheetData>
  <sheetProtection/>
  <mergeCells count="4">
    <mergeCell ref="A2:B2"/>
    <mergeCell ref="C2:D2"/>
    <mergeCell ref="B3:C3"/>
    <mergeCell ref="B4:C4"/>
  </mergeCells>
  <printOptions/>
  <pageMargins left="0.75" right="0.27" top="0.24" bottom="0.23" header="0.17" footer="0.1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150" zoomScaleNormal="150" zoomScalePageLayoutView="0" workbookViewId="0" topLeftCell="A1">
      <selection activeCell="G3" sqref="G3"/>
    </sheetView>
  </sheetViews>
  <sheetFormatPr defaultColWidth="9.125" defaultRowHeight="12.75"/>
  <cols>
    <col min="1" max="1" width="43.375" style="26" customWidth="1"/>
    <col min="2" max="2" width="10.875" style="26" customWidth="1"/>
    <col min="3" max="7" width="11.125" style="26" customWidth="1"/>
    <col min="8" max="8" width="1.37890625" style="26" customWidth="1"/>
    <col min="9" max="9" width="14.50390625" style="26" customWidth="1"/>
    <col min="10" max="10" width="13.625" style="26" customWidth="1"/>
    <col min="11" max="11" width="11.625" style="26" customWidth="1"/>
    <col min="12" max="12" width="16.125" style="26" customWidth="1"/>
    <col min="13" max="13" width="14.125" style="26" customWidth="1"/>
    <col min="14" max="14" width="12.625" style="26" customWidth="1"/>
    <col min="15" max="15" width="13.125" style="26" customWidth="1"/>
    <col min="16" max="16" width="11.00390625" style="26" customWidth="1"/>
    <col min="17" max="17" width="12.625" style="26" customWidth="1"/>
    <col min="18" max="18" width="15.50390625" style="26" customWidth="1"/>
    <col min="19" max="16384" width="9.125" style="26" customWidth="1"/>
  </cols>
  <sheetData>
    <row r="1" spans="1:9" ht="12.75">
      <c r="A1" s="23"/>
      <c r="B1" s="23"/>
      <c r="C1" s="23"/>
      <c r="D1" s="23"/>
      <c r="E1" s="23"/>
      <c r="F1" s="23"/>
      <c r="G1" s="23"/>
      <c r="H1" s="24"/>
      <c r="I1" s="25" t="s">
        <v>147</v>
      </c>
    </row>
    <row r="2" spans="1:9" ht="12.75">
      <c r="A2" s="86"/>
      <c r="B2" s="86"/>
      <c r="C2" s="87" t="s">
        <v>142</v>
      </c>
      <c r="D2" s="87" t="s">
        <v>143</v>
      </c>
      <c r="E2" s="87" t="s">
        <v>144</v>
      </c>
      <c r="F2" s="87" t="s">
        <v>145</v>
      </c>
      <c r="G2" s="87" t="s">
        <v>146</v>
      </c>
      <c r="H2" s="87"/>
      <c r="I2" s="88" t="s">
        <v>148</v>
      </c>
    </row>
    <row r="3" spans="1:19" ht="25.5">
      <c r="A3" s="145" t="s">
        <v>125</v>
      </c>
      <c r="B3" s="86"/>
      <c r="C3" s="89">
        <f>Airplane_opercosts!C14</f>
        <v>166</v>
      </c>
      <c r="D3" s="89">
        <f aca="true" t="shared" si="0" ref="D3:G4">C3</f>
        <v>166</v>
      </c>
      <c r="E3" s="89">
        <f t="shared" si="0"/>
        <v>166</v>
      </c>
      <c r="F3" s="89">
        <f t="shared" si="0"/>
        <v>166</v>
      </c>
      <c r="G3" s="89" t="s">
        <v>207</v>
      </c>
      <c r="H3" s="89"/>
      <c r="I3" s="90"/>
      <c r="L3" s="29"/>
      <c r="M3" s="29"/>
      <c r="N3" s="29"/>
      <c r="O3" s="29"/>
      <c r="P3" s="29"/>
      <c r="Q3" s="29"/>
      <c r="R3" s="29"/>
      <c r="S3" s="29"/>
    </row>
    <row r="4" spans="1:19" ht="12.75">
      <c r="A4" s="172" t="s">
        <v>62</v>
      </c>
      <c r="B4" s="86"/>
      <c r="C4" s="89">
        <f>Airplane_opercosts!C20</f>
        <v>48</v>
      </c>
      <c r="D4" s="89">
        <f t="shared" si="0"/>
        <v>48</v>
      </c>
      <c r="E4" s="89">
        <f t="shared" si="0"/>
        <v>48</v>
      </c>
      <c r="F4" s="89">
        <f t="shared" si="0"/>
        <v>48</v>
      </c>
      <c r="G4" s="89">
        <f t="shared" si="0"/>
        <v>48</v>
      </c>
      <c r="H4" s="90"/>
      <c r="I4" s="91"/>
      <c r="L4" s="29"/>
      <c r="M4" s="29"/>
      <c r="N4" s="29"/>
      <c r="O4" s="29"/>
      <c r="P4" s="29"/>
      <c r="Q4" s="29"/>
      <c r="R4" s="29"/>
      <c r="S4" s="29"/>
    </row>
    <row r="5" spans="1:19" ht="13.5" thickBot="1">
      <c r="A5" s="146" t="s">
        <v>157</v>
      </c>
      <c r="B5" s="92"/>
      <c r="C5" s="93">
        <v>0.8</v>
      </c>
      <c r="D5" s="93">
        <v>0.9</v>
      </c>
      <c r="E5" s="93">
        <v>0.95</v>
      </c>
      <c r="F5" s="93">
        <v>0.95</v>
      </c>
      <c r="G5" s="93">
        <v>0.95</v>
      </c>
      <c r="H5" s="94"/>
      <c r="I5" s="95"/>
      <c r="L5" s="29"/>
      <c r="M5" s="33"/>
      <c r="N5" s="34"/>
      <c r="O5" s="34"/>
      <c r="P5" s="29"/>
      <c r="Q5" s="35"/>
      <c r="R5" s="33"/>
      <c r="S5" s="29"/>
    </row>
    <row r="6" spans="1:19" ht="13.5" thickBot="1">
      <c r="A6" s="147" t="s">
        <v>158</v>
      </c>
      <c r="B6" s="82"/>
      <c r="C6" s="83">
        <f>Airplane_opercosts!$D$39*C5/1000</f>
        <v>2141.7984</v>
      </c>
      <c r="D6" s="83">
        <f>Airplane_opercosts!$D$39*D5/1000</f>
        <v>2409.5232</v>
      </c>
      <c r="E6" s="83">
        <f>Airplane_opercosts!$D$39*E5/1000</f>
        <v>2543.3856</v>
      </c>
      <c r="F6" s="83">
        <f>Airplane_opercosts!$D$39*F5/1000</f>
        <v>2543.3856</v>
      </c>
      <c r="G6" s="83">
        <f>Airplane_opercosts!$D$39*G5/1000</f>
        <v>2543.3856</v>
      </c>
      <c r="H6" s="84"/>
      <c r="I6" s="85">
        <f aca="true" t="shared" si="1" ref="I6:I11">SUM(B6:H6)</f>
        <v>12181.4784</v>
      </c>
      <c r="L6" s="29"/>
      <c r="M6" s="33"/>
      <c r="N6" s="34"/>
      <c r="O6" s="34"/>
      <c r="P6" s="29"/>
      <c r="Q6" s="35"/>
      <c r="R6" s="33"/>
      <c r="S6" s="29"/>
    </row>
    <row r="7" spans="1:19" ht="12.75">
      <c r="A7" s="152"/>
      <c r="B7" s="27"/>
      <c r="C7" s="28"/>
      <c r="D7" s="28"/>
      <c r="E7" s="28"/>
      <c r="F7" s="28"/>
      <c r="G7" s="28"/>
      <c r="I7" s="36">
        <f t="shared" si="1"/>
        <v>0</v>
      </c>
      <c r="L7" s="29"/>
      <c r="M7" s="33"/>
      <c r="N7" s="34"/>
      <c r="O7" s="34"/>
      <c r="P7" s="29"/>
      <c r="Q7" s="35"/>
      <c r="R7" s="33"/>
      <c r="S7" s="29"/>
    </row>
    <row r="8" spans="1:19" ht="12.75">
      <c r="A8" s="152" t="s">
        <v>128</v>
      </c>
      <c r="B8" s="37"/>
      <c r="C8" s="28">
        <f>-Airplane_opercosts!D36/1000</f>
        <v>-1538.9329056000001</v>
      </c>
      <c r="D8" s="28">
        <f>C8</f>
        <v>-1538.9329056000001</v>
      </c>
      <c r="E8" s="28">
        <f>D8</f>
        <v>-1538.9329056000001</v>
      </c>
      <c r="F8" s="28">
        <f>E8</f>
        <v>-1538.9329056000001</v>
      </c>
      <c r="G8" s="28">
        <f>F8</f>
        <v>-1538.9329056000001</v>
      </c>
      <c r="I8" s="36">
        <f t="shared" si="1"/>
        <v>-7694.664528000001</v>
      </c>
      <c r="K8" s="38"/>
      <c r="L8" s="29"/>
      <c r="M8" s="33"/>
      <c r="N8" s="34"/>
      <c r="O8" s="34"/>
      <c r="P8" s="29"/>
      <c r="Q8" s="35"/>
      <c r="R8" s="33"/>
      <c r="S8" s="29"/>
    </row>
    <row r="9" spans="1:19" ht="12.75">
      <c r="A9" s="152" t="s">
        <v>129</v>
      </c>
      <c r="B9" s="27"/>
      <c r="C9" s="28"/>
      <c r="D9" s="28"/>
      <c r="E9" s="28"/>
      <c r="F9" s="28"/>
      <c r="G9" s="28"/>
      <c r="I9" s="36">
        <f t="shared" si="1"/>
        <v>0</v>
      </c>
      <c r="L9" s="29"/>
      <c r="M9" s="33"/>
      <c r="N9" s="34"/>
      <c r="O9" s="34"/>
      <c r="P9" s="29"/>
      <c r="Q9" s="35"/>
      <c r="R9" s="33"/>
      <c r="S9" s="29"/>
    </row>
    <row r="10" spans="1:19" ht="12.75">
      <c r="A10" s="152" t="s">
        <v>130</v>
      </c>
      <c r="B10" s="27"/>
      <c r="C10" s="28"/>
      <c r="D10" s="28"/>
      <c r="E10" s="28"/>
      <c r="F10" s="28"/>
      <c r="G10" s="28"/>
      <c r="I10" s="36">
        <f t="shared" si="1"/>
        <v>0</v>
      </c>
      <c r="L10" s="29"/>
      <c r="M10" s="33"/>
      <c r="N10" s="34"/>
      <c r="O10" s="34"/>
      <c r="P10" s="29"/>
      <c r="Q10" s="35"/>
      <c r="R10" s="33"/>
      <c r="S10" s="29"/>
    </row>
    <row r="11" spans="1:19" ht="12.75">
      <c r="A11" s="173"/>
      <c r="B11" s="30"/>
      <c r="C11" s="31"/>
      <c r="D11" s="31"/>
      <c r="E11" s="31"/>
      <c r="F11" s="31"/>
      <c r="G11" s="31"/>
      <c r="H11" s="24"/>
      <c r="I11" s="39">
        <f t="shared" si="1"/>
        <v>0</v>
      </c>
      <c r="J11" s="29"/>
      <c r="K11" s="29"/>
      <c r="L11" s="29"/>
      <c r="M11" s="33"/>
      <c r="N11" s="34"/>
      <c r="O11" s="34"/>
      <c r="P11" s="29"/>
      <c r="Q11" s="35"/>
      <c r="R11" s="33"/>
      <c r="S11" s="29"/>
    </row>
    <row r="12" spans="1:19" ht="12.75">
      <c r="A12" s="173" t="s">
        <v>131</v>
      </c>
      <c r="B12" s="31">
        <f aca="true" t="shared" si="2" ref="B12:G12">B6+B8+B9+B11+B10</f>
        <v>0</v>
      </c>
      <c r="C12" s="31">
        <f t="shared" si="2"/>
        <v>602.8654944</v>
      </c>
      <c r="D12" s="31">
        <f t="shared" si="2"/>
        <v>870.5902944</v>
      </c>
      <c r="E12" s="31">
        <f t="shared" si="2"/>
        <v>1004.4526943999999</v>
      </c>
      <c r="F12" s="31">
        <f t="shared" si="2"/>
        <v>1004.4526943999999</v>
      </c>
      <c r="G12" s="31">
        <f t="shared" si="2"/>
        <v>1004.4526943999999</v>
      </c>
      <c r="H12" s="24"/>
      <c r="I12" s="39">
        <f>SUM(I6:I11)</f>
        <v>4486.813871999999</v>
      </c>
      <c r="J12" s="40"/>
      <c r="K12" s="41"/>
      <c r="L12" s="29"/>
      <c r="M12" s="33"/>
      <c r="N12" s="34"/>
      <c r="O12" s="34"/>
      <c r="P12" s="29"/>
      <c r="Q12" s="35"/>
      <c r="R12" s="33"/>
      <c r="S12" s="29"/>
    </row>
    <row r="13" spans="1:19" ht="12.75">
      <c r="A13" s="152"/>
      <c r="B13" s="27"/>
      <c r="C13" s="28"/>
      <c r="D13" s="28"/>
      <c r="I13" s="42"/>
      <c r="J13" s="28"/>
      <c r="K13" s="28"/>
      <c r="L13" s="29"/>
      <c r="M13" s="33"/>
      <c r="N13" s="34"/>
      <c r="O13" s="34"/>
      <c r="P13" s="29"/>
      <c r="Q13" s="35"/>
      <c r="R13" s="33"/>
      <c r="S13" s="29"/>
    </row>
    <row r="14" spans="1:19" s="45" customFormat="1" ht="12.75">
      <c r="A14" s="152" t="s">
        <v>204</v>
      </c>
      <c r="B14" s="43"/>
      <c r="C14" s="44">
        <f>Airplane_opercosts!D30/1000</f>
        <v>174.74999999999997</v>
      </c>
      <c r="D14" s="44">
        <f>C14</f>
        <v>174.74999999999997</v>
      </c>
      <c r="E14" s="44">
        <f>D14</f>
        <v>174.74999999999997</v>
      </c>
      <c r="F14" s="44">
        <f>E14</f>
        <v>174.74999999999997</v>
      </c>
      <c r="G14" s="44">
        <f>F14</f>
        <v>174.74999999999997</v>
      </c>
      <c r="I14" s="46">
        <f>SUM(B14:F14)</f>
        <v>698.9999999999999</v>
      </c>
      <c r="J14" s="47"/>
      <c r="K14" s="47"/>
      <c r="L14" s="29"/>
      <c r="M14" s="33"/>
      <c r="N14" s="34"/>
      <c r="O14" s="48"/>
      <c r="P14" s="29"/>
      <c r="Q14" s="35"/>
      <c r="R14" s="33"/>
      <c r="S14" s="47"/>
    </row>
    <row r="15" spans="1:19" s="45" customFormat="1" ht="12.75">
      <c r="A15" s="152"/>
      <c r="B15" s="43"/>
      <c r="C15" s="49"/>
      <c r="D15" s="49"/>
      <c r="E15" s="49"/>
      <c r="F15" s="49"/>
      <c r="G15" s="49"/>
      <c r="I15" s="46"/>
      <c r="J15" s="47"/>
      <c r="K15" s="47"/>
      <c r="L15" s="29"/>
      <c r="M15" s="33"/>
      <c r="N15" s="34"/>
      <c r="O15" s="48"/>
      <c r="P15" s="29"/>
      <c r="Q15" s="35"/>
      <c r="R15" s="33"/>
      <c r="S15" s="47"/>
    </row>
    <row r="16" spans="1:19" ht="12.75">
      <c r="A16" s="145" t="s">
        <v>132</v>
      </c>
      <c r="B16" s="50">
        <f>-Airplane_opercosts!C19</f>
        <v>-3495</v>
      </c>
      <c r="C16" s="28"/>
      <c r="D16" s="28"/>
      <c r="E16" s="28"/>
      <c r="F16" s="28"/>
      <c r="G16" s="28"/>
      <c r="I16" s="36">
        <f aca="true" t="shared" si="3" ref="I16:I21">SUM(B16:G16)</f>
        <v>-3495</v>
      </c>
      <c r="J16" s="29"/>
      <c r="K16" s="29"/>
      <c r="L16" s="29"/>
      <c r="M16" s="33"/>
      <c r="N16" s="34"/>
      <c r="O16" s="34"/>
      <c r="P16" s="29"/>
      <c r="Q16" s="35"/>
      <c r="R16" s="33"/>
      <c r="S16" s="29"/>
    </row>
    <row r="17" spans="1:19" ht="12.75">
      <c r="A17" s="145" t="s">
        <v>133</v>
      </c>
      <c r="B17" s="27"/>
      <c r="C17" s="28"/>
      <c r="D17" s="28"/>
      <c r="E17" s="28"/>
      <c r="F17" s="28"/>
      <c r="G17" s="28"/>
      <c r="I17" s="32">
        <f t="shared" si="3"/>
        <v>0</v>
      </c>
      <c r="J17" s="51"/>
      <c r="K17" s="40"/>
      <c r="L17" s="29"/>
      <c r="M17" s="33"/>
      <c r="N17" s="34"/>
      <c r="O17" s="34"/>
      <c r="P17" s="29"/>
      <c r="Q17" s="35"/>
      <c r="R17" s="33"/>
      <c r="S17" s="29"/>
    </row>
    <row r="18" spans="1:19" ht="12.75">
      <c r="A18" s="152"/>
      <c r="B18" s="27"/>
      <c r="C18" s="28"/>
      <c r="D18" s="28"/>
      <c r="E18" s="28"/>
      <c r="F18" s="28"/>
      <c r="G18" s="28"/>
      <c r="I18" s="32">
        <f t="shared" si="3"/>
        <v>0</v>
      </c>
      <c r="J18" s="29"/>
      <c r="K18" s="29"/>
      <c r="L18" s="29"/>
      <c r="M18" s="33"/>
      <c r="N18" s="34"/>
      <c r="O18" s="34"/>
      <c r="P18" s="29"/>
      <c r="Q18" s="35"/>
      <c r="R18" s="33"/>
      <c r="S18" s="29"/>
    </row>
    <row r="19" spans="1:19" ht="12.75">
      <c r="A19" s="152"/>
      <c r="B19" s="27"/>
      <c r="C19" s="28"/>
      <c r="D19" s="28"/>
      <c r="E19" s="28"/>
      <c r="F19" s="28"/>
      <c r="G19" s="28"/>
      <c r="I19" s="32">
        <f t="shared" si="3"/>
        <v>0</v>
      </c>
      <c r="J19" s="29"/>
      <c r="K19" s="52"/>
      <c r="L19" s="29"/>
      <c r="M19" s="33"/>
      <c r="N19" s="34"/>
      <c r="O19" s="34"/>
      <c r="P19" s="29"/>
      <c r="Q19" s="35"/>
      <c r="R19" s="33"/>
      <c r="S19" s="29"/>
    </row>
    <row r="20" spans="1:19" ht="12.75">
      <c r="A20" s="152"/>
      <c r="B20" s="27"/>
      <c r="C20" s="28"/>
      <c r="D20" s="28"/>
      <c r="E20" s="28"/>
      <c r="F20" s="28"/>
      <c r="G20" s="28"/>
      <c r="I20" s="32">
        <f t="shared" si="3"/>
        <v>0</v>
      </c>
      <c r="J20" s="29"/>
      <c r="K20" s="29"/>
      <c r="L20" s="29"/>
      <c r="M20" s="33"/>
      <c r="N20" s="34"/>
      <c r="O20" s="34"/>
      <c r="P20" s="29"/>
      <c r="Q20" s="35"/>
      <c r="R20" s="33"/>
      <c r="S20" s="29"/>
    </row>
    <row r="21" spans="1:19" ht="12.75">
      <c r="A21" s="152"/>
      <c r="B21" s="27"/>
      <c r="C21" s="28"/>
      <c r="D21" s="28"/>
      <c r="E21" s="28"/>
      <c r="F21" s="28"/>
      <c r="G21" s="28"/>
      <c r="I21" s="32">
        <f t="shared" si="3"/>
        <v>0</v>
      </c>
      <c r="J21" s="53"/>
      <c r="K21" s="29"/>
      <c r="L21" s="29"/>
      <c r="M21" s="33"/>
      <c r="N21" s="34"/>
      <c r="O21" s="34"/>
      <c r="P21" s="29"/>
      <c r="Q21" s="35"/>
      <c r="R21" s="33"/>
      <c r="S21" s="29"/>
    </row>
    <row r="22" spans="1:19" ht="12.75">
      <c r="A22" s="152"/>
      <c r="B22" s="27"/>
      <c r="C22" s="28"/>
      <c r="D22" s="28"/>
      <c r="E22" s="28"/>
      <c r="F22" s="28"/>
      <c r="G22" s="28"/>
      <c r="I22" s="32"/>
      <c r="J22" s="53"/>
      <c r="K22" s="29"/>
      <c r="L22" s="29"/>
      <c r="M22" s="33"/>
      <c r="N22" s="34"/>
      <c r="O22" s="34"/>
      <c r="P22" s="29"/>
      <c r="Q22" s="35"/>
      <c r="R22" s="33"/>
      <c r="S22" s="29"/>
    </row>
    <row r="23" spans="1:19" ht="19.5" customHeight="1" thickBot="1">
      <c r="A23" s="159" t="s">
        <v>134</v>
      </c>
      <c r="B23" s="69">
        <f aca="true" t="shared" si="4" ref="B23:G23">SUM(B12:B22)</f>
        <v>-3495</v>
      </c>
      <c r="C23" s="69">
        <f t="shared" si="4"/>
        <v>777.6154944</v>
      </c>
      <c r="D23" s="69">
        <f t="shared" si="4"/>
        <v>1045.3402944</v>
      </c>
      <c r="E23" s="69">
        <f t="shared" si="4"/>
        <v>1179.2026944</v>
      </c>
      <c r="F23" s="69">
        <f t="shared" si="4"/>
        <v>1179.2026944</v>
      </c>
      <c r="G23" s="69">
        <f t="shared" si="4"/>
        <v>1179.2026944</v>
      </c>
      <c r="H23" s="70"/>
      <c r="I23" s="71">
        <f>SUM(B23:H23)</f>
        <v>1865.5638719999997</v>
      </c>
      <c r="J23" s="54"/>
      <c r="K23" s="55"/>
      <c r="L23" s="29"/>
      <c r="M23" s="33"/>
      <c r="N23" s="34"/>
      <c r="O23" s="34"/>
      <c r="P23" s="29"/>
      <c r="Q23" s="35"/>
      <c r="R23" s="33"/>
      <c r="S23" s="29"/>
    </row>
    <row r="24" spans="1:19" ht="13.5" thickTop="1">
      <c r="A24" s="165"/>
      <c r="B24" s="56"/>
      <c r="C24" s="57"/>
      <c r="D24" s="57"/>
      <c r="E24" s="57"/>
      <c r="F24" s="57"/>
      <c r="G24" s="57"/>
      <c r="I24" s="32"/>
      <c r="L24" s="29"/>
      <c r="M24" s="33"/>
      <c r="N24" s="34"/>
      <c r="O24" s="34"/>
      <c r="P24" s="29"/>
      <c r="Q24" s="35"/>
      <c r="R24" s="33"/>
      <c r="S24" s="29"/>
    </row>
    <row r="25" spans="1:19" ht="12.75">
      <c r="A25" s="174" t="s">
        <v>135</v>
      </c>
      <c r="B25" s="58">
        <v>1</v>
      </c>
      <c r="C25" s="59">
        <f>B25/(1+$I$25)</f>
        <v>0.9259259259259258</v>
      </c>
      <c r="D25" s="59">
        <f>C25/(1+$I$25)</f>
        <v>0.8573388203017831</v>
      </c>
      <c r="E25" s="59">
        <f>D25/(1+$I$25)</f>
        <v>0.7938322410201695</v>
      </c>
      <c r="F25" s="59">
        <f>E25/(1+$I$25)</f>
        <v>0.7350298527964532</v>
      </c>
      <c r="G25" s="59">
        <f>F25/(1+$I$25)</f>
        <v>0.6805831970337529</v>
      </c>
      <c r="I25" s="60">
        <v>0.08</v>
      </c>
      <c r="L25" s="29"/>
      <c r="M25" s="33"/>
      <c r="N25" s="34"/>
      <c r="O25" s="34"/>
      <c r="P25" s="29"/>
      <c r="Q25" s="35"/>
      <c r="R25" s="33"/>
      <c r="S25" s="29"/>
    </row>
    <row r="26" spans="1:19" ht="13.5" thickBot="1">
      <c r="A26" s="152" t="s">
        <v>161</v>
      </c>
      <c r="B26" s="57">
        <f aca="true" t="shared" si="5" ref="B26:G26">B25*B23</f>
        <v>-3495</v>
      </c>
      <c r="C26" s="57">
        <f t="shared" si="5"/>
        <v>720.0143466666666</v>
      </c>
      <c r="D26" s="57">
        <f t="shared" si="5"/>
        <v>896.2108148148146</v>
      </c>
      <c r="E26" s="57">
        <f t="shared" si="5"/>
        <v>936.089117512574</v>
      </c>
      <c r="F26" s="57">
        <f t="shared" si="5"/>
        <v>866.7491828820129</v>
      </c>
      <c r="G26" s="57">
        <f t="shared" si="5"/>
        <v>802.5455397055675</v>
      </c>
      <c r="J26" s="32"/>
      <c r="L26" s="29"/>
      <c r="M26" s="33"/>
      <c r="N26" s="34"/>
      <c r="O26" s="34"/>
      <c r="P26" s="29"/>
      <c r="Q26" s="35"/>
      <c r="R26" s="33"/>
      <c r="S26" s="29"/>
    </row>
    <row r="27" spans="1:19" ht="13.5" thickBot="1">
      <c r="A27" s="152" t="s">
        <v>137</v>
      </c>
      <c r="B27" s="57">
        <f>B26</f>
        <v>-3495</v>
      </c>
      <c r="C27" s="57">
        <f>B27+C26</f>
        <v>-2774.985653333333</v>
      </c>
      <c r="D27" s="57">
        <f>C27+D26</f>
        <v>-1878.7748385185187</v>
      </c>
      <c r="E27" s="57">
        <f>D27+E26</f>
        <v>-942.6857210059446</v>
      </c>
      <c r="F27" s="57">
        <f>E27+F26</f>
        <v>-75.93653812393177</v>
      </c>
      <c r="G27" s="57">
        <f>F27+G26</f>
        <v>726.6090015816358</v>
      </c>
      <c r="I27" s="68">
        <f>G27</f>
        <v>726.6090015816358</v>
      </c>
      <c r="L27" s="29"/>
      <c r="M27" s="33"/>
      <c r="N27" s="34"/>
      <c r="O27" s="34"/>
      <c r="P27" s="29"/>
      <c r="Q27" s="35"/>
      <c r="R27" s="33"/>
      <c r="S27" s="29"/>
    </row>
    <row r="28" spans="1:19" ht="12.75">
      <c r="A28" s="152"/>
      <c r="B28" s="27"/>
      <c r="C28" s="57"/>
      <c r="D28" s="57"/>
      <c r="E28" s="57"/>
      <c r="F28" s="57"/>
      <c r="G28" s="57"/>
      <c r="L28" s="29"/>
      <c r="M28" s="33"/>
      <c r="N28" s="34"/>
      <c r="O28" s="34"/>
      <c r="P28" s="29"/>
      <c r="Q28" s="35"/>
      <c r="R28" s="33"/>
      <c r="S28" s="29"/>
    </row>
    <row r="29" spans="1:19" ht="12.75">
      <c r="A29" s="174" t="s">
        <v>159</v>
      </c>
      <c r="B29" s="58">
        <v>1</v>
      </c>
      <c r="C29" s="59">
        <f>B29/(1+$I$29)</f>
        <v>0.8928571428571428</v>
      </c>
      <c r="D29" s="59">
        <f>C29/(1+$I$29)</f>
        <v>0.7971938775510202</v>
      </c>
      <c r="E29" s="59">
        <f>D29/(1+$I$29)</f>
        <v>0.7117802478134109</v>
      </c>
      <c r="F29" s="59">
        <f>E29/(1+$I$29)</f>
        <v>0.6355180784048311</v>
      </c>
      <c r="G29" s="59">
        <f>F29/(1+$I$29)</f>
        <v>0.5674268557185992</v>
      </c>
      <c r="I29" s="60">
        <v>0.12</v>
      </c>
      <c r="L29" s="29"/>
      <c r="M29" s="33"/>
      <c r="N29" s="34"/>
      <c r="O29" s="34"/>
      <c r="P29" s="29"/>
      <c r="Q29" s="35"/>
      <c r="R29" s="33"/>
      <c r="S29" s="29"/>
    </row>
    <row r="30" spans="1:19" ht="13.5" thickBot="1">
      <c r="A30" s="152" t="s">
        <v>160</v>
      </c>
      <c r="B30" s="57">
        <f aca="true" t="shared" si="6" ref="B30:G30">B29*B23</f>
        <v>-3495</v>
      </c>
      <c r="C30" s="57">
        <f t="shared" si="6"/>
        <v>694.2995485714285</v>
      </c>
      <c r="D30" s="57">
        <f t="shared" si="6"/>
        <v>833.338882653061</v>
      </c>
      <c r="E30" s="57">
        <f t="shared" si="6"/>
        <v>839.3331860422737</v>
      </c>
      <c r="F30" s="57">
        <f t="shared" si="6"/>
        <v>749.4046303948872</v>
      </c>
      <c r="G30" s="57">
        <f t="shared" si="6"/>
        <v>669.1112771382922</v>
      </c>
      <c r="L30" s="29"/>
      <c r="M30" s="33"/>
      <c r="N30" s="34"/>
      <c r="O30" s="34"/>
      <c r="P30" s="29"/>
      <c r="Q30" s="35"/>
      <c r="R30" s="33"/>
      <c r="S30" s="29"/>
    </row>
    <row r="31" spans="1:19" ht="13.5" thickBot="1">
      <c r="A31" s="152" t="s">
        <v>137</v>
      </c>
      <c r="B31" s="57">
        <f>B30</f>
        <v>-3495</v>
      </c>
      <c r="C31" s="57">
        <f>B31+C30</f>
        <v>-2800.7004514285713</v>
      </c>
      <c r="D31" s="57">
        <f>C31+D30</f>
        <v>-1967.3615687755105</v>
      </c>
      <c r="E31" s="57">
        <f>D31+E30</f>
        <v>-1128.0283827332369</v>
      </c>
      <c r="F31" s="57">
        <f>E31+F30</f>
        <v>-378.6237523383496</v>
      </c>
      <c r="G31" s="57">
        <f>F31+G30</f>
        <v>290.48752479994255</v>
      </c>
      <c r="I31" s="68">
        <f>G31</f>
        <v>290.48752479994255</v>
      </c>
      <c r="L31" s="29"/>
      <c r="M31" s="33"/>
      <c r="N31" s="34"/>
      <c r="O31" s="34"/>
      <c r="P31" s="29"/>
      <c r="Q31" s="29"/>
      <c r="R31" s="29"/>
      <c r="S31" s="29"/>
    </row>
    <row r="32" spans="1:19" ht="13.5" thickBot="1">
      <c r="A32" s="173"/>
      <c r="B32" s="30"/>
      <c r="C32" s="61"/>
      <c r="D32" s="61"/>
      <c r="E32" s="61"/>
      <c r="F32" s="61"/>
      <c r="G32" s="61"/>
      <c r="H32" s="24"/>
      <c r="I32" s="62"/>
      <c r="L32" s="29"/>
      <c r="M32" s="29"/>
      <c r="N32" s="29"/>
      <c r="O32" s="29"/>
      <c r="P32" s="29"/>
      <c r="Q32" s="29"/>
      <c r="R32" s="33"/>
      <c r="S32" s="29"/>
    </row>
    <row r="33" spans="1:19" ht="16.5" hidden="1" thickBot="1">
      <c r="A33" s="152"/>
      <c r="B33" s="27"/>
      <c r="C33" s="57"/>
      <c r="D33" s="63"/>
      <c r="E33" s="63"/>
      <c r="F33" s="63"/>
      <c r="G33" s="63"/>
      <c r="H33" s="29"/>
      <c r="I33" s="29"/>
      <c r="L33" s="29"/>
      <c r="M33" s="29"/>
      <c r="N33" s="29"/>
      <c r="O33" s="29"/>
      <c r="P33" s="29"/>
      <c r="Q33" s="29"/>
      <c r="R33" s="29"/>
      <c r="S33" s="29"/>
    </row>
    <row r="34" spans="1:19" ht="12.75">
      <c r="A34" s="152"/>
      <c r="B34" s="27"/>
      <c r="C34" s="57"/>
      <c r="D34" s="57"/>
      <c r="E34" s="57"/>
      <c r="F34" s="57"/>
      <c r="G34" s="57"/>
      <c r="H34" s="29"/>
      <c r="I34" s="64" t="s">
        <v>33</v>
      </c>
      <c r="L34" s="29"/>
      <c r="M34" s="29"/>
      <c r="N34" s="29"/>
      <c r="O34" s="29"/>
      <c r="P34" s="29"/>
      <c r="Q34" s="29"/>
      <c r="R34" s="29"/>
      <c r="S34" s="29"/>
    </row>
    <row r="35" spans="1:19" ht="16.5" thickBot="1">
      <c r="A35" s="175" t="s">
        <v>33</v>
      </c>
      <c r="B35" s="56"/>
      <c r="C35" s="57"/>
      <c r="D35" s="57"/>
      <c r="E35" s="57"/>
      <c r="F35" s="57"/>
      <c r="G35" s="57"/>
      <c r="H35" s="29"/>
      <c r="I35" s="65">
        <f>IRR(B23:H23)</f>
        <v>0.15083983671447365</v>
      </c>
      <c r="L35" s="29"/>
      <c r="M35" s="29"/>
      <c r="N35" s="29"/>
      <c r="O35" s="29"/>
      <c r="P35" s="29"/>
      <c r="Q35" s="29"/>
      <c r="R35" s="29"/>
      <c r="S35" s="29"/>
    </row>
    <row r="36" spans="1:19" ht="12.75">
      <c r="A36" s="175" t="s">
        <v>140</v>
      </c>
      <c r="B36" s="56"/>
      <c r="C36" s="66"/>
      <c r="D36" s="66"/>
      <c r="E36" s="66"/>
      <c r="F36" s="66"/>
      <c r="G36" s="66"/>
      <c r="H36" s="52"/>
      <c r="I36" s="52">
        <f>ROUND(((-B23-SUM(C23:F23))/(G23/12))+60,0)</f>
        <v>53</v>
      </c>
      <c r="L36" s="29"/>
      <c r="M36" s="29"/>
      <c r="N36" s="29"/>
      <c r="O36" s="29"/>
      <c r="P36" s="29"/>
      <c r="Q36" s="29"/>
      <c r="R36" s="29"/>
      <c r="S36" s="29"/>
    </row>
    <row r="37" spans="1:9" ht="12.75">
      <c r="A37" s="175" t="s">
        <v>141</v>
      </c>
      <c r="B37" s="56"/>
      <c r="C37" s="66"/>
      <c r="D37" s="66"/>
      <c r="E37" s="66"/>
      <c r="F37" s="66"/>
      <c r="G37" s="66"/>
      <c r="H37" s="52"/>
      <c r="I37" s="52">
        <f>ROUND(I36/12,1)</f>
        <v>4.4</v>
      </c>
    </row>
    <row r="38" ht="12.75">
      <c r="E38" s="67"/>
    </row>
    <row r="40" ht="12.75">
      <c r="E40" s="67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80"/>
  <headerFooter alignWithMargins="0">
    <oddHeader>&amp;C&amp;F&amp;R]</oddHeader>
    <oddFooter>&amp;L&amp;6&amp;F   &amp;A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Nienie i?iaoeoia</dc:title>
  <dc:subject>?aen 17</dc:subject>
  <dc:creator>A?eiu Aia?ae</dc:creator>
  <cp:keywords/>
  <dc:description/>
  <cp:lastModifiedBy>Пользователь Microsoft Office</cp:lastModifiedBy>
  <cp:lastPrinted>2017-07-10T10:58:19Z</cp:lastPrinted>
  <dcterms:created xsi:type="dcterms:W3CDTF">2001-02-14T01:32:16Z</dcterms:created>
  <dcterms:modified xsi:type="dcterms:W3CDTF">2018-05-18T19:39:23Z</dcterms:modified>
  <cp:category/>
  <cp:version/>
  <cp:contentType/>
  <cp:contentStatus/>
</cp:coreProperties>
</file>